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Equazioni" sheetId="1" r:id="rId1"/>
    <sheet name="Soluzione" sheetId="2" r:id="rId2"/>
  </sheets>
  <definedNames>
    <definedName name="alfa">'Soluzione'!$D$4</definedName>
    <definedName name="alfa0">'Equazioni'!$D$33</definedName>
    <definedName name="D1_">'Soluzione'!$E$16</definedName>
    <definedName name="g">'Equazioni'!$B$132</definedName>
    <definedName name="H">'Soluzione'!$B$18</definedName>
    <definedName name="IC">'Soluzione'!$B$8</definedName>
    <definedName name="IP">'Equazioni'!$B$95</definedName>
    <definedName name="mc">'Equazioni'!$B$87</definedName>
    <definedName name="mm">'Equazioni'!$B$88</definedName>
    <definedName name="mt">'Equazioni'!$B$96</definedName>
    <definedName name="R_">'Equazioni'!$B$32</definedName>
    <definedName name="rc_">'Equazioni'!$B$89</definedName>
  </definedNames>
  <calcPr fullCalcOnLoad="1"/>
</workbook>
</file>

<file path=xl/sharedStrings.xml><?xml version="1.0" encoding="utf-8"?>
<sst xmlns="http://schemas.openxmlformats.org/spreadsheetml/2006/main" count="212" uniqueCount="106">
  <si>
    <r>
      <t>H</t>
    </r>
    <r>
      <rPr>
        <vertAlign val="subscript"/>
        <sz val="10"/>
        <rFont val="Arial"/>
        <family val="2"/>
      </rPr>
      <t>0</t>
    </r>
  </si>
  <si>
    <r>
      <t>L</t>
    </r>
    <r>
      <rPr>
        <vertAlign val="subscript"/>
        <sz val="10"/>
        <rFont val="Arial"/>
        <family val="2"/>
      </rPr>
      <t>0</t>
    </r>
  </si>
  <si>
    <r>
      <t>L</t>
    </r>
    <r>
      <rPr>
        <vertAlign val="subscript"/>
        <sz val="10"/>
        <rFont val="Arial"/>
        <family val="2"/>
      </rPr>
      <t>20</t>
    </r>
  </si>
  <si>
    <r>
      <t>L</t>
    </r>
    <r>
      <rPr>
        <vertAlign val="subscript"/>
        <sz val="10"/>
        <rFont val="Arial"/>
        <family val="2"/>
      </rPr>
      <t>10</t>
    </r>
  </si>
  <si>
    <t>figura sopra riportata.</t>
  </si>
  <si>
    <r>
      <t>H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</t>
    </r>
  </si>
  <si>
    <t>R =</t>
  </si>
  <si>
    <t>[m]</t>
  </si>
  <si>
    <r>
      <t>a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</t>
    </r>
  </si>
  <si>
    <t>[deg]</t>
  </si>
  <si>
    <t>[rad]</t>
  </si>
  <si>
    <r>
      <t>L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</si>
  <si>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 xml:space="preserve">20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</si>
  <si>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=</t>
    </r>
  </si>
  <si>
    <r>
      <t>Per il quesito 30, in base anche ai chiarimenti apparsi nel Forum, la distanza L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non varia al variare dell'inclinazione dello scivolo.</t>
    </r>
  </si>
  <si>
    <r>
      <t>L</t>
    </r>
    <r>
      <rPr>
        <vertAlign val="subscript"/>
        <sz val="10"/>
        <rFont val="Arial"/>
        <family val="2"/>
      </rPr>
      <t>2</t>
    </r>
  </si>
  <si>
    <t>L</t>
  </si>
  <si>
    <t>H</t>
  </si>
  <si>
    <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L</t>
    </r>
    <r>
      <rPr>
        <vertAlign val="subscript"/>
        <sz val="10"/>
        <rFont val="Arial"/>
        <family val="2"/>
      </rPr>
      <t>10</t>
    </r>
  </si>
  <si>
    <r>
      <t xml:space="preserve">L'angolo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e' incognito. Da considerazioni geometriche si ottiene:</t>
    </r>
  </si>
  <si>
    <t>La ruota, rotolando senza strisciare, ha un atto di moto infinitesimo che e' dato da una rotazione attorno al suo punto di contatto</t>
  </si>
  <si>
    <t>P con la superficie sottostante, sia questa il piano inclinato od il cilindro di raggio R.</t>
  </si>
  <si>
    <t>In base ai dai del problema, si ha:</t>
  </si>
  <si>
    <t>[kg]</t>
  </si>
  <si>
    <r>
      <t>m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</si>
  <si>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</t>
    </r>
  </si>
  <si>
    <t>massa cerchione</t>
  </si>
  <si>
    <t>massa mozzo</t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</si>
  <si>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</si>
  <si>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t>raggio cerchione</t>
  </si>
  <si>
    <r>
      <t>I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</si>
  <si>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t>Analizziamo ora il moto da quando la ruota si stacca dal cilindro nel punto C fino a quando tocca l'acqua.</t>
  </si>
  <si>
    <t>Il moto del centro della ruota e' dato dal moto del proiettile dotato di una certa velocita' iniziale in direzione orizzontale e verticale.</t>
  </si>
  <si>
    <t>Si puo' facilmente dimostrare che l'equazione della traiettoria e' data da:</t>
  </si>
  <si>
    <t>dove:</t>
  </si>
  <si>
    <r>
      <t>mentre v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e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sono la velocita' di fuga in C e l'angolo al centro, rispettivamente.</t>
    </r>
  </si>
  <si>
    <r>
      <t>La velocita' di fuga v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soddisfa poi la condizione data dall'uguaglianza tra la forza centrifuga e la componente tangenziale del peso, ovvero:</t>
    </r>
  </si>
  <si>
    <r>
      <t>Si indichi con I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il momento di inerzia rispetto a tale punto e con 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la massa totale.</t>
    </r>
  </si>
  <si>
    <r>
      <t>m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</si>
  <si>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Quando la ruota tocca l'acqua si ha:</t>
  </si>
  <si>
    <t>[1]</t>
  </si>
  <si>
    <t>[2]</t>
  </si>
  <si>
    <t>g =</t>
  </si>
  <si>
    <t>[m/s2]</t>
  </si>
  <si>
    <t>e' l'accelerazione di gravita'.</t>
  </si>
  <si>
    <t>t</t>
  </si>
  <si>
    <t>x</t>
  </si>
  <si>
    <t>y</t>
  </si>
  <si>
    <t>[s]</t>
  </si>
  <si>
    <t>alfa =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</si>
  <si>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</si>
  <si>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t>H =</t>
  </si>
  <si>
    <r>
      <t>alfa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</si>
  <si>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</si>
  <si>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2"/>
      </rPr>
      <t>20</t>
    </r>
    <r>
      <rPr>
        <sz val="10"/>
        <rFont val="Arial"/>
        <family val="0"/>
      </rPr>
      <t xml:space="preserve"> =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</si>
  <si>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</si>
  <si>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</si>
  <si>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</si>
  <si>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</si>
  <si>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L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=</t>
    </r>
  </si>
  <si>
    <t>L =</t>
  </si>
  <si>
    <t>D =</t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</si>
  <si>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D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=</t>
    </r>
  </si>
  <si>
    <t>Centro di massa</t>
  </si>
  <si>
    <t>f</t>
  </si>
  <si>
    <r>
      <t>f</t>
    </r>
    <r>
      <rPr>
        <sz val="10"/>
        <rFont val="Arial"/>
        <family val="2"/>
      </rPr>
      <t>'</t>
    </r>
  </si>
  <si>
    <r>
      <t>f</t>
    </r>
    <r>
      <rPr>
        <sz val="10"/>
        <rFont val="Arial"/>
        <family val="2"/>
      </rPr>
      <t>''</t>
    </r>
  </si>
  <si>
    <t>[rad/s]</t>
  </si>
  <si>
    <r>
      <t>[rad/s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</si>
  <si>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f</t>
    </r>
    <r>
      <rPr>
        <sz val="10"/>
        <rFont val="Arial"/>
        <family val="2"/>
      </rPr>
      <t>'' =</t>
    </r>
  </si>
  <si>
    <t>Ec</t>
  </si>
  <si>
    <r>
      <t>v</t>
    </r>
    <r>
      <rPr>
        <vertAlign val="subscript"/>
        <sz val="10"/>
        <rFont val="Arial"/>
        <family val="2"/>
      </rPr>
      <t>x</t>
    </r>
  </si>
  <si>
    <t>[m/s]</t>
  </si>
  <si>
    <r>
      <t>v</t>
    </r>
    <r>
      <rPr>
        <vertAlign val="subscript"/>
        <sz val="10"/>
        <rFont val="Arial"/>
        <family val="2"/>
      </rPr>
      <t>y</t>
    </r>
  </si>
  <si>
    <t>v</t>
  </si>
  <si>
    <t>[kgf m]</t>
  </si>
  <si>
    <t>Ep</t>
  </si>
  <si>
    <t>Et</t>
  </si>
  <si>
    <r>
      <t>d</t>
    </r>
    <r>
      <rPr>
        <vertAlign val="subscript"/>
        <sz val="10"/>
        <rFont val="Arial"/>
        <family val="2"/>
      </rPr>
      <t>CM</t>
    </r>
  </si>
  <si>
    <t>q</t>
  </si>
  <si>
    <r>
      <t>q</t>
    </r>
    <r>
      <rPr>
        <sz val="10"/>
        <rFont val="Arial"/>
        <family val="2"/>
      </rPr>
      <t>'</t>
    </r>
  </si>
  <si>
    <t>Angoli al centro</t>
  </si>
  <si>
    <t>/</t>
  </si>
  <si>
    <r>
      <t>F</t>
    </r>
    <r>
      <rPr>
        <vertAlign val="subscript"/>
        <sz val="10"/>
        <rFont val="Arial"/>
        <family val="2"/>
      </rPr>
      <t>agente</t>
    </r>
  </si>
  <si>
    <t>[kgf]</t>
  </si>
  <si>
    <t>Calcolo forze</t>
  </si>
  <si>
    <t>Moto lungo il cilindro</t>
  </si>
  <si>
    <r>
      <t>F</t>
    </r>
    <r>
      <rPr>
        <vertAlign val="subscript"/>
        <sz val="10"/>
        <rFont val="Arial"/>
        <family val="2"/>
      </rPr>
      <t>centrif</t>
    </r>
  </si>
  <si>
    <r>
      <t>[kgf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</si>
  <si>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</si>
  <si>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cad</t>
    </r>
    <r>
      <rPr>
        <sz val="10"/>
        <rFont val="Arial"/>
        <family val="0"/>
      </rPr>
      <t xml:space="preserve"> =</t>
    </r>
  </si>
  <si>
    <r>
      <t>x</t>
    </r>
    <r>
      <rPr>
        <vertAlign val="subscript"/>
        <sz val="10"/>
        <rFont val="Arial"/>
        <family val="2"/>
      </rPr>
      <t>cad</t>
    </r>
    <r>
      <rPr>
        <sz val="10"/>
        <rFont val="Arial"/>
        <family val="0"/>
      </rPr>
      <t xml:space="preserve"> =</t>
    </r>
  </si>
  <si>
    <t>Punto B</t>
  </si>
  <si>
    <t>Punto C</t>
  </si>
  <si>
    <t>Innanzitutto si noti l'ipotesi sulla situazione iniziale dello scivolo, con il centro di massa C.M. posizionato lungo la perpendicolare</t>
  </si>
  <si>
    <t>per A allo scivolo inclinato AB.</t>
  </si>
  <si>
    <r>
      <t>y = r</t>
    </r>
    <r>
      <rPr>
        <vertAlign val="subscript"/>
        <sz val="10"/>
        <rFont val="Arial"/>
        <family val="2"/>
      </rPr>
      <t>c</t>
    </r>
  </si>
  <si>
    <t>Risolvendo si trova:</t>
  </si>
  <si>
    <r>
      <t xml:space="preserve">A questo punto basta impostare il principio di conservazione dell'energia tra A e C per trovare l'equazione che fornisce </t>
    </r>
    <r>
      <rPr>
        <sz val="10"/>
        <rFont val="Symbol"/>
        <family val="1"/>
      </rPr>
      <t>a</t>
    </r>
    <r>
      <rPr>
        <sz val="10"/>
        <rFont val="Arial"/>
        <family val="0"/>
      </rPr>
      <t>.</t>
    </r>
  </si>
  <si>
    <t>Vi risparmio i conti e vi riporto l'equazione risolvente:</t>
  </si>
  <si>
    <t>Da cui si trova:</t>
  </si>
  <si>
    <r>
      <t xml:space="preserve">Combinando la [1] e la [2] si ottiene l'equazione che fornisce l'angolo 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.</t>
    </r>
  </si>
  <si>
    <r>
      <t>Dalla soluzione dell'esercizio 21 si e' trovato il valore di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. Da questo si puo' risalire tramite considerazioni geometriche al valore di L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, come dalla</t>
    </r>
  </si>
  <si>
    <t>da cui:</t>
  </si>
  <si>
    <t>Procedimento risolutivo</t>
  </si>
  <si>
    <t>Traiettoria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</si>
</sst>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0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center"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traiettoria CM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9"/>
          <c:w val="0.88375"/>
          <c:h val="0.81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Soluzione!$F$29:$F$55</c:f>
              <c:numCache/>
            </c:numRef>
          </c:xVal>
          <c:yVal>
            <c:numRef>
              <c:f>Soluzione!$G$29:$G$55</c:f>
              <c:numCache/>
            </c:numRef>
          </c:yVal>
          <c:smooth val="1"/>
        </c:ser>
        <c:axId val="63035386"/>
        <c:axId val="30447563"/>
      </c:scatterChart>
      <c:valAx>
        <c:axId val="6303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7563"/>
        <c:crosses val="autoZero"/>
        <c:crossBetween val="midCat"/>
        <c:dispUnits/>
      </c:valAx>
      <c:valAx>
        <c:axId val="30447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35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133350</xdr:rowOff>
    </xdr:from>
    <xdr:to>
      <xdr:col>11</xdr:col>
      <xdr:colOff>38100</xdr:colOff>
      <xdr:row>21</xdr:row>
      <xdr:rowOff>104775</xdr:rowOff>
    </xdr:to>
    <xdr:sp>
      <xdr:nvSpPr>
        <xdr:cNvPr id="1" name="Rectangle 11"/>
        <xdr:cNvSpPr>
          <a:spLocks/>
        </xdr:cNvSpPr>
      </xdr:nvSpPr>
      <xdr:spPr>
        <a:xfrm>
          <a:off x="1209675" y="361950"/>
          <a:ext cx="5534025" cy="3248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133350</xdr:rowOff>
    </xdr:from>
    <xdr:to>
      <xdr:col>7</xdr:col>
      <xdr:colOff>28575</xdr:colOff>
      <xdr:row>12</xdr:row>
      <xdr:rowOff>57150</xdr:rowOff>
    </xdr:to>
    <xdr:sp>
      <xdr:nvSpPr>
        <xdr:cNvPr id="2" name="Line 4"/>
        <xdr:cNvSpPr>
          <a:spLocks/>
        </xdr:cNvSpPr>
      </xdr:nvSpPr>
      <xdr:spPr>
        <a:xfrm>
          <a:off x="1485900" y="1171575"/>
          <a:ext cx="2809875" cy="933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66675</xdr:rowOff>
    </xdr:from>
    <xdr:to>
      <xdr:col>10</xdr:col>
      <xdr:colOff>361950</xdr:colOff>
      <xdr:row>16</xdr:row>
      <xdr:rowOff>95250</xdr:rowOff>
    </xdr:to>
    <xdr:sp>
      <xdr:nvSpPr>
        <xdr:cNvPr id="3" name="Line 5"/>
        <xdr:cNvSpPr>
          <a:spLocks/>
        </xdr:cNvSpPr>
      </xdr:nvSpPr>
      <xdr:spPr>
        <a:xfrm>
          <a:off x="4295775" y="2114550"/>
          <a:ext cx="21621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133350</xdr:rowOff>
    </xdr:from>
    <xdr:to>
      <xdr:col>2</xdr:col>
      <xdr:colOff>257175</xdr:colOff>
      <xdr:row>16</xdr:row>
      <xdr:rowOff>76200</xdr:rowOff>
    </xdr:to>
    <xdr:sp>
      <xdr:nvSpPr>
        <xdr:cNvPr id="4" name="Line 6"/>
        <xdr:cNvSpPr>
          <a:spLocks/>
        </xdr:cNvSpPr>
      </xdr:nvSpPr>
      <xdr:spPr>
        <a:xfrm>
          <a:off x="1466850" y="1171575"/>
          <a:ext cx="95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16</xdr:row>
      <xdr:rowOff>85725</xdr:rowOff>
    </xdr:from>
    <xdr:to>
      <xdr:col>10</xdr:col>
      <xdr:colOff>314325</xdr:colOff>
      <xdr:row>16</xdr:row>
      <xdr:rowOff>85725</xdr:rowOff>
    </xdr:to>
    <xdr:sp>
      <xdr:nvSpPr>
        <xdr:cNvPr id="5" name="Line 8"/>
        <xdr:cNvSpPr>
          <a:spLocks/>
        </xdr:cNvSpPr>
      </xdr:nvSpPr>
      <xdr:spPr>
        <a:xfrm>
          <a:off x="4714875" y="27813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16</xdr:row>
      <xdr:rowOff>95250</xdr:rowOff>
    </xdr:from>
    <xdr:to>
      <xdr:col>10</xdr:col>
      <xdr:colOff>342900</xdr:colOff>
      <xdr:row>21</xdr:row>
      <xdr:rowOff>9525</xdr:rowOff>
    </xdr:to>
    <xdr:sp>
      <xdr:nvSpPr>
        <xdr:cNvPr id="6" name="Rectangle 9"/>
        <xdr:cNvSpPr>
          <a:spLocks/>
        </xdr:cNvSpPr>
      </xdr:nvSpPr>
      <xdr:spPr>
        <a:xfrm>
          <a:off x="1466850" y="2790825"/>
          <a:ext cx="4972050" cy="7239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0</xdr:rowOff>
    </xdr:from>
    <xdr:to>
      <xdr:col>7</xdr:col>
      <xdr:colOff>438150</xdr:colOff>
      <xdr:row>21</xdr:row>
      <xdr:rowOff>19050</xdr:rowOff>
    </xdr:to>
    <xdr:sp>
      <xdr:nvSpPr>
        <xdr:cNvPr id="7" name="Oval 2"/>
        <xdr:cNvSpPr>
          <a:spLocks/>
        </xdr:cNvSpPr>
      </xdr:nvSpPr>
      <xdr:spPr>
        <a:xfrm>
          <a:off x="3228975" y="2047875"/>
          <a:ext cx="1476375" cy="1476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180975</xdr:rowOff>
    </xdr:from>
    <xdr:to>
      <xdr:col>6</xdr:col>
      <xdr:colOff>314325</xdr:colOff>
      <xdr:row>16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971925" y="20288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12</xdr:row>
      <xdr:rowOff>66675</xdr:rowOff>
    </xdr:from>
    <xdr:to>
      <xdr:col>7</xdr:col>
      <xdr:colOff>19050</xdr:colOff>
      <xdr:row>12</xdr:row>
      <xdr:rowOff>66675</xdr:rowOff>
    </xdr:to>
    <xdr:sp>
      <xdr:nvSpPr>
        <xdr:cNvPr id="9" name="Line 13"/>
        <xdr:cNvSpPr>
          <a:spLocks/>
        </xdr:cNvSpPr>
      </xdr:nvSpPr>
      <xdr:spPr>
        <a:xfrm flipH="1">
          <a:off x="1476375" y="21145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16</xdr:row>
      <xdr:rowOff>95250</xdr:rowOff>
    </xdr:from>
    <xdr:to>
      <xdr:col>7</xdr:col>
      <xdr:colOff>457200</xdr:colOff>
      <xdr:row>16</xdr:row>
      <xdr:rowOff>95250</xdr:rowOff>
    </xdr:to>
    <xdr:sp>
      <xdr:nvSpPr>
        <xdr:cNvPr id="10" name="Line 7"/>
        <xdr:cNvSpPr>
          <a:spLocks/>
        </xdr:cNvSpPr>
      </xdr:nvSpPr>
      <xdr:spPr>
        <a:xfrm>
          <a:off x="1466850" y="279082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12</xdr:row>
      <xdr:rowOff>76200</xdr:rowOff>
    </xdr:from>
    <xdr:to>
      <xdr:col>7</xdr:col>
      <xdr:colOff>28575</xdr:colOff>
      <xdr:row>16</xdr:row>
      <xdr:rowOff>95250</xdr:rowOff>
    </xdr:to>
    <xdr:sp>
      <xdr:nvSpPr>
        <xdr:cNvPr id="11" name="Line 17"/>
        <xdr:cNvSpPr>
          <a:spLocks/>
        </xdr:cNvSpPr>
      </xdr:nvSpPr>
      <xdr:spPr>
        <a:xfrm flipV="1">
          <a:off x="3971925" y="2124075"/>
          <a:ext cx="3238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13</xdr:row>
      <xdr:rowOff>114300</xdr:rowOff>
    </xdr:from>
    <xdr:to>
      <xdr:col>7</xdr:col>
      <xdr:colOff>257175</xdr:colOff>
      <xdr:row>16</xdr:row>
      <xdr:rowOff>95250</xdr:rowOff>
    </xdr:to>
    <xdr:sp>
      <xdr:nvSpPr>
        <xdr:cNvPr id="12" name="Line 18"/>
        <xdr:cNvSpPr>
          <a:spLocks/>
        </xdr:cNvSpPr>
      </xdr:nvSpPr>
      <xdr:spPr>
        <a:xfrm flipV="1">
          <a:off x="3971925" y="2324100"/>
          <a:ext cx="5524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16</xdr:row>
      <xdr:rowOff>133350</xdr:rowOff>
    </xdr:from>
    <xdr:to>
      <xdr:col>6</xdr:col>
      <xdr:colOff>390525</xdr:colOff>
      <xdr:row>18</xdr:row>
      <xdr:rowOff>9525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3876675" y="28289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8</xdr:col>
      <xdr:colOff>390525</xdr:colOff>
      <xdr:row>15</xdr:row>
      <xdr:rowOff>66675</xdr:rowOff>
    </xdr:from>
    <xdr:to>
      <xdr:col>9</xdr:col>
      <xdr:colOff>581025</xdr:colOff>
      <xdr:row>16</xdr:row>
      <xdr:rowOff>142875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5267325" y="2600325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15 deg</a:t>
          </a:r>
        </a:p>
      </xdr:txBody>
    </xdr:sp>
    <xdr:clientData/>
  </xdr:twoCellAnchor>
  <xdr:twoCellAnchor>
    <xdr:from>
      <xdr:col>10</xdr:col>
      <xdr:colOff>38100</xdr:colOff>
      <xdr:row>15</xdr:row>
      <xdr:rowOff>152400</xdr:rowOff>
    </xdr:from>
    <xdr:to>
      <xdr:col>10</xdr:col>
      <xdr:colOff>219075</xdr:colOff>
      <xdr:row>16</xdr:row>
      <xdr:rowOff>104775</xdr:rowOff>
    </xdr:to>
    <xdr:sp>
      <xdr:nvSpPr>
        <xdr:cNvPr id="15" name="Arc 22"/>
        <xdr:cNvSpPr>
          <a:spLocks/>
        </xdr:cNvSpPr>
      </xdr:nvSpPr>
      <xdr:spPr>
        <a:xfrm rot="16200000">
          <a:off x="6134100" y="2686050"/>
          <a:ext cx="180975" cy="114300"/>
        </a:xfrm>
        <a:prstGeom prst="arc">
          <a:avLst>
            <a:gd name="adj" fmla="val -16450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42</xdr:row>
      <xdr:rowOff>133350</xdr:rowOff>
    </xdr:from>
    <xdr:to>
      <xdr:col>11</xdr:col>
      <xdr:colOff>266700</xdr:colOff>
      <xdr:row>65</xdr:row>
      <xdr:rowOff>104775</xdr:rowOff>
    </xdr:to>
    <xdr:sp>
      <xdr:nvSpPr>
        <xdr:cNvPr id="16" name="Rectangle 24"/>
        <xdr:cNvSpPr>
          <a:spLocks/>
        </xdr:cNvSpPr>
      </xdr:nvSpPr>
      <xdr:spPr>
        <a:xfrm>
          <a:off x="1200150" y="7419975"/>
          <a:ext cx="5772150" cy="3695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50</xdr:row>
      <xdr:rowOff>133350</xdr:rowOff>
    </xdr:from>
    <xdr:to>
      <xdr:col>7</xdr:col>
      <xdr:colOff>19050</xdr:colOff>
      <xdr:row>56</xdr:row>
      <xdr:rowOff>57150</xdr:rowOff>
    </xdr:to>
    <xdr:sp>
      <xdr:nvSpPr>
        <xdr:cNvPr id="17" name="Line 25"/>
        <xdr:cNvSpPr>
          <a:spLocks/>
        </xdr:cNvSpPr>
      </xdr:nvSpPr>
      <xdr:spPr>
        <a:xfrm>
          <a:off x="1476375" y="8715375"/>
          <a:ext cx="2809875" cy="895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56</xdr:row>
      <xdr:rowOff>66675</xdr:rowOff>
    </xdr:from>
    <xdr:to>
      <xdr:col>10</xdr:col>
      <xdr:colOff>352425</xdr:colOff>
      <xdr:row>60</xdr:row>
      <xdr:rowOff>95250</xdr:rowOff>
    </xdr:to>
    <xdr:sp>
      <xdr:nvSpPr>
        <xdr:cNvPr id="18" name="Line 26"/>
        <xdr:cNvSpPr>
          <a:spLocks/>
        </xdr:cNvSpPr>
      </xdr:nvSpPr>
      <xdr:spPr>
        <a:xfrm>
          <a:off x="4286250" y="9620250"/>
          <a:ext cx="21621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50</xdr:row>
      <xdr:rowOff>133350</xdr:rowOff>
    </xdr:from>
    <xdr:to>
      <xdr:col>2</xdr:col>
      <xdr:colOff>247650</xdr:colOff>
      <xdr:row>60</xdr:row>
      <xdr:rowOff>76200</xdr:rowOff>
    </xdr:to>
    <xdr:sp>
      <xdr:nvSpPr>
        <xdr:cNvPr id="19" name="Line 27"/>
        <xdr:cNvSpPr>
          <a:spLocks/>
        </xdr:cNvSpPr>
      </xdr:nvSpPr>
      <xdr:spPr>
        <a:xfrm>
          <a:off x="1457325" y="8715375"/>
          <a:ext cx="9525" cy="1562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60</xdr:row>
      <xdr:rowOff>85725</xdr:rowOff>
    </xdr:from>
    <xdr:to>
      <xdr:col>10</xdr:col>
      <xdr:colOff>304800</xdr:colOff>
      <xdr:row>60</xdr:row>
      <xdr:rowOff>85725</xdr:rowOff>
    </xdr:to>
    <xdr:sp>
      <xdr:nvSpPr>
        <xdr:cNvPr id="20" name="Line 28"/>
        <xdr:cNvSpPr>
          <a:spLocks/>
        </xdr:cNvSpPr>
      </xdr:nvSpPr>
      <xdr:spPr>
        <a:xfrm>
          <a:off x="4705350" y="10287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60</xdr:row>
      <xdr:rowOff>95250</xdr:rowOff>
    </xdr:from>
    <xdr:to>
      <xdr:col>10</xdr:col>
      <xdr:colOff>333375</xdr:colOff>
      <xdr:row>65</xdr:row>
      <xdr:rowOff>9525</xdr:rowOff>
    </xdr:to>
    <xdr:sp>
      <xdr:nvSpPr>
        <xdr:cNvPr id="21" name="Rectangle 29"/>
        <xdr:cNvSpPr>
          <a:spLocks/>
        </xdr:cNvSpPr>
      </xdr:nvSpPr>
      <xdr:spPr>
        <a:xfrm>
          <a:off x="1457325" y="10296525"/>
          <a:ext cx="4972050" cy="7239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56</xdr:row>
      <xdr:rowOff>0</xdr:rowOff>
    </xdr:from>
    <xdr:to>
      <xdr:col>7</xdr:col>
      <xdr:colOff>428625</xdr:colOff>
      <xdr:row>65</xdr:row>
      <xdr:rowOff>19050</xdr:rowOff>
    </xdr:to>
    <xdr:sp>
      <xdr:nvSpPr>
        <xdr:cNvPr id="22" name="Oval 30"/>
        <xdr:cNvSpPr>
          <a:spLocks/>
        </xdr:cNvSpPr>
      </xdr:nvSpPr>
      <xdr:spPr>
        <a:xfrm>
          <a:off x="3219450" y="9553575"/>
          <a:ext cx="1476375" cy="1476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52</xdr:row>
      <xdr:rowOff>38100</xdr:rowOff>
    </xdr:from>
    <xdr:to>
      <xdr:col>6</xdr:col>
      <xdr:colOff>304800</xdr:colOff>
      <xdr:row>60</xdr:row>
      <xdr:rowOff>114300</xdr:rowOff>
    </xdr:to>
    <xdr:sp>
      <xdr:nvSpPr>
        <xdr:cNvPr id="23" name="Line 31"/>
        <xdr:cNvSpPr>
          <a:spLocks/>
        </xdr:cNvSpPr>
      </xdr:nvSpPr>
      <xdr:spPr>
        <a:xfrm flipV="1">
          <a:off x="3962400" y="89439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56</xdr:row>
      <xdr:rowOff>66675</xdr:rowOff>
    </xdr:from>
    <xdr:to>
      <xdr:col>7</xdr:col>
      <xdr:colOff>9525</xdr:colOff>
      <xdr:row>56</xdr:row>
      <xdr:rowOff>66675</xdr:rowOff>
    </xdr:to>
    <xdr:sp>
      <xdr:nvSpPr>
        <xdr:cNvPr id="24" name="Line 32"/>
        <xdr:cNvSpPr>
          <a:spLocks/>
        </xdr:cNvSpPr>
      </xdr:nvSpPr>
      <xdr:spPr>
        <a:xfrm flipH="1">
          <a:off x="1466850" y="96202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60</xdr:row>
      <xdr:rowOff>95250</xdr:rowOff>
    </xdr:from>
    <xdr:to>
      <xdr:col>7</xdr:col>
      <xdr:colOff>447675</xdr:colOff>
      <xdr:row>60</xdr:row>
      <xdr:rowOff>95250</xdr:rowOff>
    </xdr:to>
    <xdr:sp>
      <xdr:nvSpPr>
        <xdr:cNvPr id="25" name="Line 33"/>
        <xdr:cNvSpPr>
          <a:spLocks/>
        </xdr:cNvSpPr>
      </xdr:nvSpPr>
      <xdr:spPr>
        <a:xfrm>
          <a:off x="1457325" y="1029652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51</xdr:row>
      <xdr:rowOff>19050</xdr:rowOff>
    </xdr:from>
    <xdr:to>
      <xdr:col>2</xdr:col>
      <xdr:colOff>419100</xdr:colOff>
      <xdr:row>52</xdr:row>
      <xdr:rowOff>57150</xdr:rowOff>
    </xdr:to>
    <xdr:sp>
      <xdr:nvSpPr>
        <xdr:cNvPr id="26" name="TextBox 34"/>
        <xdr:cNvSpPr txBox="1">
          <a:spLocks noChangeArrowheads="1"/>
        </xdr:cNvSpPr>
      </xdr:nvSpPr>
      <xdr:spPr>
        <a:xfrm>
          <a:off x="1466850" y="87630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600075</xdr:colOff>
      <xdr:row>55</xdr:row>
      <xdr:rowOff>9525</xdr:rowOff>
    </xdr:from>
    <xdr:to>
      <xdr:col>7</xdr:col>
      <xdr:colOff>161925</xdr:colOff>
      <xdr:row>56</xdr:row>
      <xdr:rowOff>47625</xdr:rowOff>
    </xdr:to>
    <xdr:sp>
      <xdr:nvSpPr>
        <xdr:cNvPr id="27" name="TextBox 35"/>
        <xdr:cNvSpPr txBox="1">
          <a:spLocks noChangeArrowheads="1"/>
        </xdr:cNvSpPr>
      </xdr:nvSpPr>
      <xdr:spPr>
        <a:xfrm>
          <a:off x="4257675" y="94011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304800</xdr:colOff>
      <xdr:row>56</xdr:row>
      <xdr:rowOff>76200</xdr:rowOff>
    </xdr:from>
    <xdr:to>
      <xdr:col>7</xdr:col>
      <xdr:colOff>19050</xdr:colOff>
      <xdr:row>60</xdr:row>
      <xdr:rowOff>95250</xdr:rowOff>
    </xdr:to>
    <xdr:sp>
      <xdr:nvSpPr>
        <xdr:cNvPr id="28" name="Line 36"/>
        <xdr:cNvSpPr>
          <a:spLocks/>
        </xdr:cNvSpPr>
      </xdr:nvSpPr>
      <xdr:spPr>
        <a:xfrm flipV="1">
          <a:off x="3962400" y="9629775"/>
          <a:ext cx="3238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57</xdr:row>
      <xdr:rowOff>114300</xdr:rowOff>
    </xdr:from>
    <xdr:to>
      <xdr:col>7</xdr:col>
      <xdr:colOff>247650</xdr:colOff>
      <xdr:row>60</xdr:row>
      <xdr:rowOff>95250</xdr:rowOff>
    </xdr:to>
    <xdr:sp>
      <xdr:nvSpPr>
        <xdr:cNvPr id="29" name="Line 37"/>
        <xdr:cNvSpPr>
          <a:spLocks/>
        </xdr:cNvSpPr>
      </xdr:nvSpPr>
      <xdr:spPr>
        <a:xfrm flipV="1">
          <a:off x="3962400" y="9829800"/>
          <a:ext cx="5524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57</xdr:row>
      <xdr:rowOff>142875</xdr:rowOff>
    </xdr:from>
    <xdr:to>
      <xdr:col>7</xdr:col>
      <xdr:colOff>342900</xdr:colOff>
      <xdr:row>59</xdr:row>
      <xdr:rowOff>19050</xdr:rowOff>
    </xdr:to>
    <xdr:sp>
      <xdr:nvSpPr>
        <xdr:cNvPr id="30" name="TextBox 38"/>
        <xdr:cNvSpPr txBox="1">
          <a:spLocks noChangeArrowheads="1"/>
        </xdr:cNvSpPr>
      </xdr:nvSpPr>
      <xdr:spPr>
        <a:xfrm>
          <a:off x="4438650" y="98583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6</xdr:col>
      <xdr:colOff>209550</xdr:colOff>
      <xdr:row>60</xdr:row>
      <xdr:rowOff>133350</xdr:rowOff>
    </xdr:from>
    <xdr:to>
      <xdr:col>6</xdr:col>
      <xdr:colOff>381000</xdr:colOff>
      <xdr:row>62</xdr:row>
      <xdr:rowOff>9525</xdr:rowOff>
    </xdr:to>
    <xdr:sp>
      <xdr:nvSpPr>
        <xdr:cNvPr id="31" name="TextBox 39"/>
        <xdr:cNvSpPr txBox="1">
          <a:spLocks noChangeArrowheads="1"/>
        </xdr:cNvSpPr>
      </xdr:nvSpPr>
      <xdr:spPr>
        <a:xfrm>
          <a:off x="3867150" y="103346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9</xdr:col>
      <xdr:colOff>352425</xdr:colOff>
      <xdr:row>59</xdr:row>
      <xdr:rowOff>85725</xdr:rowOff>
    </xdr:from>
    <xdr:to>
      <xdr:col>9</xdr:col>
      <xdr:colOff>552450</xdr:colOff>
      <xdr:row>61</xdr:row>
      <xdr:rowOff>0</xdr:rowOff>
    </xdr:to>
    <xdr:sp>
      <xdr:nvSpPr>
        <xdr:cNvPr id="32" name="TextBox 40"/>
        <xdr:cNvSpPr txBox="1">
          <a:spLocks noChangeArrowheads="1"/>
        </xdr:cNvSpPr>
      </xdr:nvSpPr>
      <xdr:spPr>
        <a:xfrm>
          <a:off x="5838825" y="101250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</a:t>
          </a:r>
        </a:p>
      </xdr:txBody>
    </xdr:sp>
    <xdr:clientData/>
  </xdr:twoCellAnchor>
  <xdr:twoCellAnchor>
    <xdr:from>
      <xdr:col>10</xdr:col>
      <xdr:colOff>28575</xdr:colOff>
      <xdr:row>59</xdr:row>
      <xdr:rowOff>152400</xdr:rowOff>
    </xdr:from>
    <xdr:to>
      <xdr:col>10</xdr:col>
      <xdr:colOff>209550</xdr:colOff>
      <xdr:row>60</xdr:row>
      <xdr:rowOff>104775</xdr:rowOff>
    </xdr:to>
    <xdr:sp>
      <xdr:nvSpPr>
        <xdr:cNvPr id="33" name="Arc 41"/>
        <xdr:cNvSpPr>
          <a:spLocks/>
        </xdr:cNvSpPr>
      </xdr:nvSpPr>
      <xdr:spPr>
        <a:xfrm rot="16200000">
          <a:off x="6124575" y="10191750"/>
          <a:ext cx="180975" cy="114300"/>
        </a:xfrm>
        <a:prstGeom prst="arc">
          <a:avLst>
            <a:gd name="adj" fmla="val -16450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52</xdr:row>
      <xdr:rowOff>38100</xdr:rowOff>
    </xdr:from>
    <xdr:to>
      <xdr:col>5</xdr:col>
      <xdr:colOff>438150</xdr:colOff>
      <xdr:row>54</xdr:row>
      <xdr:rowOff>47625</xdr:rowOff>
    </xdr:to>
    <xdr:sp>
      <xdr:nvSpPr>
        <xdr:cNvPr id="34" name="Oval 42"/>
        <xdr:cNvSpPr>
          <a:spLocks/>
        </xdr:cNvSpPr>
      </xdr:nvSpPr>
      <xdr:spPr>
        <a:xfrm>
          <a:off x="3152775" y="8943975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5</xdr:row>
      <xdr:rowOff>133350</xdr:rowOff>
    </xdr:from>
    <xdr:to>
      <xdr:col>10</xdr:col>
      <xdr:colOff>409575</xdr:colOff>
      <xdr:row>7</xdr:row>
      <xdr:rowOff>9525</xdr:rowOff>
    </xdr:to>
    <xdr:sp>
      <xdr:nvSpPr>
        <xdr:cNvPr id="35" name="TextBox 43"/>
        <xdr:cNvSpPr txBox="1">
          <a:spLocks noChangeArrowheads="1"/>
        </xdr:cNvSpPr>
      </xdr:nvSpPr>
      <xdr:spPr>
        <a:xfrm>
          <a:off x="5429250" y="1009650"/>
          <a:ext cx="1076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Sol. Esercizio 21</a:t>
          </a:r>
        </a:p>
      </xdr:txBody>
    </xdr:sp>
    <xdr:clientData/>
  </xdr:twoCellAnchor>
  <xdr:twoCellAnchor>
    <xdr:from>
      <xdr:col>1</xdr:col>
      <xdr:colOff>381000</xdr:colOff>
      <xdr:row>6</xdr:row>
      <xdr:rowOff>152400</xdr:rowOff>
    </xdr:from>
    <xdr:to>
      <xdr:col>2</xdr:col>
      <xdr:colOff>123825</xdr:colOff>
      <xdr:row>16</xdr:row>
      <xdr:rowOff>66675</xdr:rowOff>
    </xdr:to>
    <xdr:grpSp>
      <xdr:nvGrpSpPr>
        <xdr:cNvPr id="36" name="Group 48"/>
        <xdr:cNvGrpSpPr>
          <a:grpSpLocks/>
        </xdr:cNvGrpSpPr>
      </xdr:nvGrpSpPr>
      <xdr:grpSpPr>
        <a:xfrm flipH="1">
          <a:off x="990600" y="1190625"/>
          <a:ext cx="352425" cy="1571625"/>
          <a:chOff x="143" y="357"/>
          <a:chExt cx="37" cy="102"/>
        </a:xfrm>
        <a:solidFill>
          <a:srgbClr val="FFFFFF"/>
        </a:solidFill>
      </xdr:grpSpPr>
      <xdr:sp>
        <xdr:nvSpPr>
          <xdr:cNvPr id="37" name="Line 49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51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295275</xdr:colOff>
      <xdr:row>23</xdr:row>
      <xdr:rowOff>142875</xdr:rowOff>
    </xdr:from>
    <xdr:to>
      <xdr:col>10</xdr:col>
      <xdr:colOff>333375</xdr:colOff>
      <xdr:row>26</xdr:row>
      <xdr:rowOff>9525</xdr:rowOff>
    </xdr:to>
    <xdr:grpSp>
      <xdr:nvGrpSpPr>
        <xdr:cNvPr id="40" name="Group 52"/>
        <xdr:cNvGrpSpPr>
          <a:grpSpLocks/>
        </xdr:cNvGrpSpPr>
      </xdr:nvGrpSpPr>
      <xdr:grpSpPr>
        <a:xfrm rot="5400000">
          <a:off x="1514475" y="4010025"/>
          <a:ext cx="4914900" cy="390525"/>
          <a:chOff x="143" y="357"/>
          <a:chExt cx="37" cy="102"/>
        </a:xfrm>
        <a:solidFill>
          <a:srgbClr val="FFFFFF"/>
        </a:solidFill>
      </xdr:grpSpPr>
      <xdr:sp>
        <xdr:nvSpPr>
          <xdr:cNvPr id="41" name="Line 53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4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55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285750</xdr:colOff>
      <xdr:row>21</xdr:row>
      <xdr:rowOff>123825</xdr:rowOff>
    </xdr:from>
    <xdr:to>
      <xdr:col>6</xdr:col>
      <xdr:colOff>276225</xdr:colOff>
      <xdr:row>23</xdr:row>
      <xdr:rowOff>152400</xdr:rowOff>
    </xdr:to>
    <xdr:grpSp>
      <xdr:nvGrpSpPr>
        <xdr:cNvPr id="44" name="Group 56"/>
        <xdr:cNvGrpSpPr>
          <a:grpSpLocks/>
        </xdr:cNvGrpSpPr>
      </xdr:nvGrpSpPr>
      <xdr:grpSpPr>
        <a:xfrm rot="5400000">
          <a:off x="1504950" y="3629025"/>
          <a:ext cx="2428875" cy="390525"/>
          <a:chOff x="143" y="357"/>
          <a:chExt cx="37" cy="102"/>
        </a:xfrm>
        <a:solidFill>
          <a:srgbClr val="FFFFFF"/>
        </a:solidFill>
      </xdr:grpSpPr>
      <xdr:sp>
        <xdr:nvSpPr>
          <xdr:cNvPr id="45" name="Line 57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8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9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21</xdr:row>
      <xdr:rowOff>114300</xdr:rowOff>
    </xdr:from>
    <xdr:to>
      <xdr:col>10</xdr:col>
      <xdr:colOff>323850</xdr:colOff>
      <xdr:row>23</xdr:row>
      <xdr:rowOff>142875</xdr:rowOff>
    </xdr:to>
    <xdr:grpSp>
      <xdr:nvGrpSpPr>
        <xdr:cNvPr id="48" name="Group 60"/>
        <xdr:cNvGrpSpPr>
          <a:grpSpLocks/>
        </xdr:cNvGrpSpPr>
      </xdr:nvGrpSpPr>
      <xdr:grpSpPr>
        <a:xfrm rot="5400000">
          <a:off x="3933825" y="3619500"/>
          <a:ext cx="2486025" cy="390525"/>
          <a:chOff x="143" y="357"/>
          <a:chExt cx="37" cy="102"/>
        </a:xfrm>
        <a:solidFill>
          <a:srgbClr val="FFFFFF"/>
        </a:solidFill>
      </xdr:grpSpPr>
      <xdr:sp>
        <xdr:nvSpPr>
          <xdr:cNvPr id="49" name="Line 61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2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63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409575</xdr:colOff>
      <xdr:row>13</xdr:row>
      <xdr:rowOff>28575</xdr:rowOff>
    </xdr:from>
    <xdr:to>
      <xdr:col>6</xdr:col>
      <xdr:colOff>581025</xdr:colOff>
      <xdr:row>14</xdr:row>
      <xdr:rowOff>66675</xdr:rowOff>
    </xdr:to>
    <xdr:sp>
      <xdr:nvSpPr>
        <xdr:cNvPr id="52" name="TextBox 64"/>
        <xdr:cNvSpPr txBox="1">
          <a:spLocks noChangeArrowheads="1"/>
        </xdr:cNvSpPr>
      </xdr:nvSpPr>
      <xdr:spPr>
        <a:xfrm>
          <a:off x="4067175" y="22383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2</xdr:col>
      <xdr:colOff>276225</xdr:colOff>
      <xdr:row>7</xdr:row>
      <xdr:rowOff>38100</xdr:rowOff>
    </xdr:from>
    <xdr:to>
      <xdr:col>7</xdr:col>
      <xdr:colOff>209550</xdr:colOff>
      <xdr:row>9</xdr:row>
      <xdr:rowOff>66675</xdr:rowOff>
    </xdr:to>
    <xdr:grpSp>
      <xdr:nvGrpSpPr>
        <xdr:cNvPr id="53" name="Group 65"/>
        <xdr:cNvGrpSpPr>
          <a:grpSpLocks/>
        </xdr:cNvGrpSpPr>
      </xdr:nvGrpSpPr>
      <xdr:grpSpPr>
        <a:xfrm rot="6568300" flipH="1">
          <a:off x="1495425" y="1238250"/>
          <a:ext cx="2981325" cy="352425"/>
          <a:chOff x="143" y="357"/>
          <a:chExt cx="37" cy="102"/>
        </a:xfrm>
        <a:solidFill>
          <a:srgbClr val="FFFFFF"/>
        </a:solidFill>
      </xdr:grpSpPr>
      <xdr:sp>
        <xdr:nvSpPr>
          <xdr:cNvPr id="54" name="Line 66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7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68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12</xdr:row>
      <xdr:rowOff>38100</xdr:rowOff>
    </xdr:from>
    <xdr:to>
      <xdr:col>10</xdr:col>
      <xdr:colOff>466725</xdr:colOff>
      <xdr:row>14</xdr:row>
      <xdr:rowOff>66675</xdr:rowOff>
    </xdr:to>
    <xdr:grpSp>
      <xdr:nvGrpSpPr>
        <xdr:cNvPr id="57" name="Group 69"/>
        <xdr:cNvGrpSpPr>
          <a:grpSpLocks/>
        </xdr:cNvGrpSpPr>
      </xdr:nvGrpSpPr>
      <xdr:grpSpPr>
        <a:xfrm rot="6538905" flipH="1">
          <a:off x="4343400" y="2085975"/>
          <a:ext cx="2219325" cy="352425"/>
          <a:chOff x="143" y="357"/>
          <a:chExt cx="37" cy="102"/>
        </a:xfrm>
        <a:solidFill>
          <a:srgbClr val="FFFFFF"/>
        </a:solidFill>
      </xdr:grpSpPr>
      <xdr:sp>
        <xdr:nvSpPr>
          <xdr:cNvPr id="58" name="Line 70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71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72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323850</xdr:colOff>
      <xdr:row>7</xdr:row>
      <xdr:rowOff>95250</xdr:rowOff>
    </xdr:from>
    <xdr:to>
      <xdr:col>11</xdr:col>
      <xdr:colOff>66675</xdr:colOff>
      <xdr:row>9</xdr:row>
      <xdr:rowOff>123825</xdr:rowOff>
    </xdr:to>
    <xdr:grpSp>
      <xdr:nvGrpSpPr>
        <xdr:cNvPr id="61" name="Group 73"/>
        <xdr:cNvGrpSpPr>
          <a:grpSpLocks/>
        </xdr:cNvGrpSpPr>
      </xdr:nvGrpSpPr>
      <xdr:grpSpPr>
        <a:xfrm rot="6538905" flipH="1">
          <a:off x="1543050" y="1295400"/>
          <a:ext cx="5229225" cy="352425"/>
          <a:chOff x="143" y="357"/>
          <a:chExt cx="37" cy="102"/>
        </a:xfrm>
        <a:solidFill>
          <a:srgbClr val="FFFFFF"/>
        </a:solidFill>
      </xdr:grpSpPr>
      <xdr:sp>
        <xdr:nvSpPr>
          <xdr:cNvPr id="62" name="Line 74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5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6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50</xdr:row>
      <xdr:rowOff>152400</xdr:rowOff>
    </xdr:from>
    <xdr:to>
      <xdr:col>2</xdr:col>
      <xdr:colOff>104775</xdr:colOff>
      <xdr:row>60</xdr:row>
      <xdr:rowOff>104775</xdr:rowOff>
    </xdr:to>
    <xdr:grpSp>
      <xdr:nvGrpSpPr>
        <xdr:cNvPr id="65" name="Group 77"/>
        <xdr:cNvGrpSpPr>
          <a:grpSpLocks/>
        </xdr:cNvGrpSpPr>
      </xdr:nvGrpSpPr>
      <xdr:grpSpPr>
        <a:xfrm flipH="1">
          <a:off x="971550" y="8734425"/>
          <a:ext cx="352425" cy="1571625"/>
          <a:chOff x="143" y="357"/>
          <a:chExt cx="37" cy="102"/>
        </a:xfrm>
        <a:solidFill>
          <a:srgbClr val="FFFFFF"/>
        </a:solidFill>
      </xdr:grpSpPr>
      <xdr:sp>
        <xdr:nvSpPr>
          <xdr:cNvPr id="66" name="Line 78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9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80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276225</xdr:colOff>
      <xdr:row>67</xdr:row>
      <xdr:rowOff>133350</xdr:rowOff>
    </xdr:from>
    <xdr:to>
      <xdr:col>10</xdr:col>
      <xdr:colOff>314325</xdr:colOff>
      <xdr:row>70</xdr:row>
      <xdr:rowOff>38100</xdr:rowOff>
    </xdr:to>
    <xdr:grpSp>
      <xdr:nvGrpSpPr>
        <xdr:cNvPr id="69" name="Group 81"/>
        <xdr:cNvGrpSpPr>
          <a:grpSpLocks/>
        </xdr:cNvGrpSpPr>
      </xdr:nvGrpSpPr>
      <xdr:grpSpPr>
        <a:xfrm rot="5400000">
          <a:off x="1495425" y="11506200"/>
          <a:ext cx="4914900" cy="390525"/>
          <a:chOff x="143" y="357"/>
          <a:chExt cx="37" cy="102"/>
        </a:xfrm>
        <a:solidFill>
          <a:srgbClr val="FFFFFF"/>
        </a:solidFill>
      </xdr:grpSpPr>
      <xdr:sp>
        <xdr:nvSpPr>
          <xdr:cNvPr id="70" name="Line 82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83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84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266700</xdr:colOff>
      <xdr:row>65</xdr:row>
      <xdr:rowOff>104775</xdr:rowOff>
    </xdr:from>
    <xdr:to>
      <xdr:col>6</xdr:col>
      <xdr:colOff>257175</xdr:colOff>
      <xdr:row>68</xdr:row>
      <xdr:rowOff>9525</xdr:rowOff>
    </xdr:to>
    <xdr:grpSp>
      <xdr:nvGrpSpPr>
        <xdr:cNvPr id="73" name="Group 85"/>
        <xdr:cNvGrpSpPr>
          <a:grpSpLocks/>
        </xdr:cNvGrpSpPr>
      </xdr:nvGrpSpPr>
      <xdr:grpSpPr>
        <a:xfrm rot="5400000">
          <a:off x="1485900" y="11115675"/>
          <a:ext cx="2428875" cy="428625"/>
          <a:chOff x="143" y="357"/>
          <a:chExt cx="37" cy="102"/>
        </a:xfrm>
        <a:solidFill>
          <a:srgbClr val="FFFFFF"/>
        </a:solidFill>
      </xdr:grpSpPr>
      <xdr:sp>
        <xdr:nvSpPr>
          <xdr:cNvPr id="74" name="Line 86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7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88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257175</xdr:colOff>
      <xdr:row>65</xdr:row>
      <xdr:rowOff>104775</xdr:rowOff>
    </xdr:from>
    <xdr:to>
      <xdr:col>10</xdr:col>
      <xdr:colOff>304800</xdr:colOff>
      <xdr:row>68</xdr:row>
      <xdr:rowOff>9525</xdr:rowOff>
    </xdr:to>
    <xdr:grpSp>
      <xdr:nvGrpSpPr>
        <xdr:cNvPr id="77" name="Group 89"/>
        <xdr:cNvGrpSpPr>
          <a:grpSpLocks/>
        </xdr:cNvGrpSpPr>
      </xdr:nvGrpSpPr>
      <xdr:grpSpPr>
        <a:xfrm rot="5400000">
          <a:off x="3914775" y="11115675"/>
          <a:ext cx="2486025" cy="428625"/>
          <a:chOff x="143" y="357"/>
          <a:chExt cx="37" cy="102"/>
        </a:xfrm>
        <a:solidFill>
          <a:srgbClr val="FFFFFF"/>
        </a:solidFill>
      </xdr:grpSpPr>
      <xdr:sp>
        <xdr:nvSpPr>
          <xdr:cNvPr id="78" name="Line 90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91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92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419100</xdr:colOff>
      <xdr:row>48</xdr:row>
      <xdr:rowOff>95250</xdr:rowOff>
    </xdr:from>
    <xdr:to>
      <xdr:col>7</xdr:col>
      <xdr:colOff>352425</xdr:colOff>
      <xdr:row>50</xdr:row>
      <xdr:rowOff>123825</xdr:rowOff>
    </xdr:to>
    <xdr:grpSp>
      <xdr:nvGrpSpPr>
        <xdr:cNvPr id="81" name="Group 93"/>
        <xdr:cNvGrpSpPr>
          <a:grpSpLocks/>
        </xdr:cNvGrpSpPr>
      </xdr:nvGrpSpPr>
      <xdr:grpSpPr>
        <a:xfrm rot="6568300" flipH="1">
          <a:off x="1638300" y="8353425"/>
          <a:ext cx="2981325" cy="352425"/>
          <a:chOff x="143" y="357"/>
          <a:chExt cx="37" cy="102"/>
        </a:xfrm>
        <a:solidFill>
          <a:srgbClr val="FFFFFF"/>
        </a:solidFill>
      </xdr:grpSpPr>
      <xdr:sp>
        <xdr:nvSpPr>
          <xdr:cNvPr id="82" name="Line 94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95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96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466725</xdr:colOff>
      <xdr:row>48</xdr:row>
      <xdr:rowOff>152400</xdr:rowOff>
    </xdr:from>
    <xdr:to>
      <xdr:col>11</xdr:col>
      <xdr:colOff>209550</xdr:colOff>
      <xdr:row>51</xdr:row>
      <xdr:rowOff>19050</xdr:rowOff>
    </xdr:to>
    <xdr:grpSp>
      <xdr:nvGrpSpPr>
        <xdr:cNvPr id="85" name="Group 97"/>
        <xdr:cNvGrpSpPr>
          <a:grpSpLocks/>
        </xdr:cNvGrpSpPr>
      </xdr:nvGrpSpPr>
      <xdr:grpSpPr>
        <a:xfrm rot="6538905" flipH="1">
          <a:off x="1685925" y="8410575"/>
          <a:ext cx="5229225" cy="352425"/>
          <a:chOff x="143" y="357"/>
          <a:chExt cx="37" cy="102"/>
        </a:xfrm>
        <a:solidFill>
          <a:srgbClr val="FFFFFF"/>
        </a:solidFill>
      </xdr:grpSpPr>
      <xdr:sp>
        <xdr:nvSpPr>
          <xdr:cNvPr id="86" name="Line 98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99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00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53</xdr:row>
      <xdr:rowOff>133350</xdr:rowOff>
    </xdr:from>
    <xdr:to>
      <xdr:col>10</xdr:col>
      <xdr:colOff>600075</xdr:colOff>
      <xdr:row>56</xdr:row>
      <xdr:rowOff>0</xdr:rowOff>
    </xdr:to>
    <xdr:grpSp>
      <xdr:nvGrpSpPr>
        <xdr:cNvPr id="89" name="Group 101"/>
        <xdr:cNvGrpSpPr>
          <a:grpSpLocks/>
        </xdr:cNvGrpSpPr>
      </xdr:nvGrpSpPr>
      <xdr:grpSpPr>
        <a:xfrm rot="6538905" flipH="1">
          <a:off x="4476750" y="9201150"/>
          <a:ext cx="2219325" cy="352425"/>
          <a:chOff x="143" y="357"/>
          <a:chExt cx="37" cy="102"/>
        </a:xfrm>
        <a:solidFill>
          <a:srgbClr val="FFFFFF"/>
        </a:solidFill>
      </xdr:grpSpPr>
      <xdr:sp>
        <xdr:nvSpPr>
          <xdr:cNvPr id="90" name="Line 102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03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04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504825</xdr:colOff>
      <xdr:row>53</xdr:row>
      <xdr:rowOff>19050</xdr:rowOff>
    </xdr:from>
    <xdr:to>
      <xdr:col>9</xdr:col>
      <xdr:colOff>219075</xdr:colOff>
      <xdr:row>54</xdr:row>
      <xdr:rowOff>66675</xdr:rowOff>
    </xdr:to>
    <xdr:sp>
      <xdr:nvSpPr>
        <xdr:cNvPr id="93" name="TextBox 113"/>
        <xdr:cNvSpPr txBox="1">
          <a:spLocks noChangeArrowheads="1"/>
        </xdr:cNvSpPr>
      </xdr:nvSpPr>
      <xdr:spPr>
        <a:xfrm>
          <a:off x="5381625" y="90868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504825</xdr:colOff>
      <xdr:row>49</xdr:row>
      <xdr:rowOff>19050</xdr:rowOff>
    </xdr:from>
    <xdr:to>
      <xdr:col>6</xdr:col>
      <xdr:colOff>219075</xdr:colOff>
      <xdr:row>50</xdr:row>
      <xdr:rowOff>66675</xdr:rowOff>
    </xdr:to>
    <xdr:sp>
      <xdr:nvSpPr>
        <xdr:cNvPr id="94" name="TextBox 114"/>
        <xdr:cNvSpPr txBox="1">
          <a:spLocks noChangeArrowheads="1"/>
        </xdr:cNvSpPr>
      </xdr:nvSpPr>
      <xdr:spPr>
        <a:xfrm>
          <a:off x="3552825" y="84391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133350</xdr:colOff>
      <xdr:row>48</xdr:row>
      <xdr:rowOff>85725</xdr:rowOff>
    </xdr:from>
    <xdr:to>
      <xdr:col>7</xdr:col>
      <xdr:colOff>457200</xdr:colOff>
      <xdr:row>49</xdr:row>
      <xdr:rowOff>133350</xdr:rowOff>
    </xdr:to>
    <xdr:sp>
      <xdr:nvSpPr>
        <xdr:cNvPr id="95" name="TextBox 115"/>
        <xdr:cNvSpPr txBox="1">
          <a:spLocks noChangeArrowheads="1"/>
        </xdr:cNvSpPr>
      </xdr:nvSpPr>
      <xdr:spPr>
        <a:xfrm>
          <a:off x="4400550" y="834390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561975</xdr:colOff>
      <xdr:row>45</xdr:row>
      <xdr:rowOff>123825</xdr:rowOff>
    </xdr:from>
    <xdr:to>
      <xdr:col>10</xdr:col>
      <xdr:colOff>419100</xdr:colOff>
      <xdr:row>47</xdr:row>
      <xdr:rowOff>0</xdr:rowOff>
    </xdr:to>
    <xdr:sp>
      <xdr:nvSpPr>
        <xdr:cNvPr id="96" name="TextBox 116"/>
        <xdr:cNvSpPr txBox="1">
          <a:spLocks noChangeArrowheads="1"/>
        </xdr:cNvSpPr>
      </xdr:nvSpPr>
      <xdr:spPr>
        <a:xfrm>
          <a:off x="5438775" y="7896225"/>
          <a:ext cx="1076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Esercizio 30</a:t>
          </a:r>
        </a:p>
      </xdr:txBody>
    </xdr:sp>
    <xdr:clientData/>
  </xdr:twoCellAnchor>
  <xdr:twoCellAnchor>
    <xdr:from>
      <xdr:col>5</xdr:col>
      <xdr:colOff>123825</xdr:colOff>
      <xdr:row>54</xdr:row>
      <xdr:rowOff>66675</xdr:rowOff>
    </xdr:from>
    <xdr:to>
      <xdr:col>5</xdr:col>
      <xdr:colOff>295275</xdr:colOff>
      <xdr:row>55</xdr:row>
      <xdr:rowOff>104775</xdr:rowOff>
    </xdr:to>
    <xdr:sp>
      <xdr:nvSpPr>
        <xdr:cNvPr id="97" name="TextBox 118"/>
        <xdr:cNvSpPr txBox="1">
          <a:spLocks noChangeArrowheads="1"/>
        </xdr:cNvSpPr>
      </xdr:nvSpPr>
      <xdr:spPr>
        <a:xfrm>
          <a:off x="3171825" y="92964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342900</xdr:colOff>
      <xdr:row>99</xdr:row>
      <xdr:rowOff>152400</xdr:rowOff>
    </xdr:from>
    <xdr:to>
      <xdr:col>11</xdr:col>
      <xdr:colOff>19050</xdr:colOff>
      <xdr:row>116</xdr:row>
      <xdr:rowOff>114300</xdr:rowOff>
    </xdr:to>
    <xdr:sp>
      <xdr:nvSpPr>
        <xdr:cNvPr id="98" name="Rectangle 120"/>
        <xdr:cNvSpPr>
          <a:spLocks/>
        </xdr:cNvSpPr>
      </xdr:nvSpPr>
      <xdr:spPr>
        <a:xfrm>
          <a:off x="952500" y="16935450"/>
          <a:ext cx="5772150" cy="2714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101</xdr:row>
      <xdr:rowOff>142875</xdr:rowOff>
    </xdr:from>
    <xdr:to>
      <xdr:col>6</xdr:col>
      <xdr:colOff>381000</xdr:colOff>
      <xdr:row>107</xdr:row>
      <xdr:rowOff>66675</xdr:rowOff>
    </xdr:to>
    <xdr:sp>
      <xdr:nvSpPr>
        <xdr:cNvPr id="99" name="Line 121"/>
        <xdr:cNvSpPr>
          <a:spLocks/>
        </xdr:cNvSpPr>
      </xdr:nvSpPr>
      <xdr:spPr>
        <a:xfrm>
          <a:off x="1228725" y="17249775"/>
          <a:ext cx="2809875" cy="895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107</xdr:row>
      <xdr:rowOff>76200</xdr:rowOff>
    </xdr:from>
    <xdr:to>
      <xdr:col>10</xdr:col>
      <xdr:colOff>104775</xdr:colOff>
      <xdr:row>111</xdr:row>
      <xdr:rowOff>104775</xdr:rowOff>
    </xdr:to>
    <xdr:sp>
      <xdr:nvSpPr>
        <xdr:cNvPr id="100" name="Line 122"/>
        <xdr:cNvSpPr>
          <a:spLocks/>
        </xdr:cNvSpPr>
      </xdr:nvSpPr>
      <xdr:spPr>
        <a:xfrm>
          <a:off x="4038600" y="18154650"/>
          <a:ext cx="21621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101</xdr:row>
      <xdr:rowOff>142875</xdr:rowOff>
    </xdr:from>
    <xdr:to>
      <xdr:col>2</xdr:col>
      <xdr:colOff>0</xdr:colOff>
      <xdr:row>111</xdr:row>
      <xdr:rowOff>85725</xdr:rowOff>
    </xdr:to>
    <xdr:sp>
      <xdr:nvSpPr>
        <xdr:cNvPr id="101" name="Line 123"/>
        <xdr:cNvSpPr>
          <a:spLocks/>
        </xdr:cNvSpPr>
      </xdr:nvSpPr>
      <xdr:spPr>
        <a:xfrm>
          <a:off x="1209675" y="17249775"/>
          <a:ext cx="9525" cy="1562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111</xdr:row>
      <xdr:rowOff>95250</xdr:rowOff>
    </xdr:from>
    <xdr:to>
      <xdr:col>10</xdr:col>
      <xdr:colOff>57150</xdr:colOff>
      <xdr:row>111</xdr:row>
      <xdr:rowOff>95250</xdr:rowOff>
    </xdr:to>
    <xdr:sp>
      <xdr:nvSpPr>
        <xdr:cNvPr id="102" name="Line 124"/>
        <xdr:cNvSpPr>
          <a:spLocks/>
        </xdr:cNvSpPr>
      </xdr:nvSpPr>
      <xdr:spPr>
        <a:xfrm>
          <a:off x="4457700" y="188214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111</xdr:row>
      <xdr:rowOff>104775</xdr:rowOff>
    </xdr:from>
    <xdr:to>
      <xdr:col>10</xdr:col>
      <xdr:colOff>85725</xdr:colOff>
      <xdr:row>116</xdr:row>
      <xdr:rowOff>19050</xdr:rowOff>
    </xdr:to>
    <xdr:sp>
      <xdr:nvSpPr>
        <xdr:cNvPr id="103" name="Rectangle 125"/>
        <xdr:cNvSpPr>
          <a:spLocks/>
        </xdr:cNvSpPr>
      </xdr:nvSpPr>
      <xdr:spPr>
        <a:xfrm>
          <a:off x="1209675" y="18830925"/>
          <a:ext cx="4972050" cy="7239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107</xdr:row>
      <xdr:rowOff>9525</xdr:rowOff>
    </xdr:from>
    <xdr:to>
      <xdr:col>7</xdr:col>
      <xdr:colOff>180975</xdr:colOff>
      <xdr:row>116</xdr:row>
      <xdr:rowOff>28575</xdr:rowOff>
    </xdr:to>
    <xdr:sp>
      <xdr:nvSpPr>
        <xdr:cNvPr id="104" name="Oval 126"/>
        <xdr:cNvSpPr>
          <a:spLocks/>
        </xdr:cNvSpPr>
      </xdr:nvSpPr>
      <xdr:spPr>
        <a:xfrm>
          <a:off x="2971800" y="18087975"/>
          <a:ext cx="1476375" cy="1476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`</a:t>
          </a:r>
        </a:p>
      </xdr:txBody>
    </xdr:sp>
    <xdr:clientData/>
  </xdr:twoCellAnchor>
  <xdr:twoCellAnchor>
    <xdr:from>
      <xdr:col>6</xdr:col>
      <xdr:colOff>57150</xdr:colOff>
      <xdr:row>103</xdr:row>
      <xdr:rowOff>47625</xdr:rowOff>
    </xdr:from>
    <xdr:to>
      <xdr:col>6</xdr:col>
      <xdr:colOff>57150</xdr:colOff>
      <xdr:row>111</xdr:row>
      <xdr:rowOff>123825</xdr:rowOff>
    </xdr:to>
    <xdr:sp>
      <xdr:nvSpPr>
        <xdr:cNvPr id="105" name="Line 127"/>
        <xdr:cNvSpPr>
          <a:spLocks/>
        </xdr:cNvSpPr>
      </xdr:nvSpPr>
      <xdr:spPr>
        <a:xfrm flipV="1">
          <a:off x="3714750" y="174783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76200</xdr:rowOff>
    </xdr:from>
    <xdr:to>
      <xdr:col>6</xdr:col>
      <xdr:colOff>371475</xdr:colOff>
      <xdr:row>107</xdr:row>
      <xdr:rowOff>76200</xdr:rowOff>
    </xdr:to>
    <xdr:sp>
      <xdr:nvSpPr>
        <xdr:cNvPr id="106" name="Line 128"/>
        <xdr:cNvSpPr>
          <a:spLocks/>
        </xdr:cNvSpPr>
      </xdr:nvSpPr>
      <xdr:spPr>
        <a:xfrm flipH="1">
          <a:off x="1219200" y="181546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111</xdr:row>
      <xdr:rowOff>104775</xdr:rowOff>
    </xdr:from>
    <xdr:to>
      <xdr:col>7</xdr:col>
      <xdr:colOff>200025</xdr:colOff>
      <xdr:row>111</xdr:row>
      <xdr:rowOff>104775</xdr:rowOff>
    </xdr:to>
    <xdr:sp>
      <xdr:nvSpPr>
        <xdr:cNvPr id="107" name="Line 129"/>
        <xdr:cNvSpPr>
          <a:spLocks/>
        </xdr:cNvSpPr>
      </xdr:nvSpPr>
      <xdr:spPr>
        <a:xfrm>
          <a:off x="1209675" y="1883092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28575</xdr:rowOff>
    </xdr:from>
    <xdr:to>
      <xdr:col>2</xdr:col>
      <xdr:colOff>171450</xdr:colOff>
      <xdr:row>103</xdr:row>
      <xdr:rowOff>66675</xdr:rowOff>
    </xdr:to>
    <xdr:sp>
      <xdr:nvSpPr>
        <xdr:cNvPr id="108" name="TextBox 130"/>
        <xdr:cNvSpPr txBox="1">
          <a:spLocks noChangeArrowheads="1"/>
        </xdr:cNvSpPr>
      </xdr:nvSpPr>
      <xdr:spPr>
        <a:xfrm>
          <a:off x="1219200" y="172974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352425</xdr:colOff>
      <xdr:row>106</xdr:row>
      <xdr:rowOff>19050</xdr:rowOff>
    </xdr:from>
    <xdr:to>
      <xdr:col>6</xdr:col>
      <xdr:colOff>523875</xdr:colOff>
      <xdr:row>107</xdr:row>
      <xdr:rowOff>57150</xdr:rowOff>
    </xdr:to>
    <xdr:sp>
      <xdr:nvSpPr>
        <xdr:cNvPr id="109" name="TextBox 131"/>
        <xdr:cNvSpPr txBox="1">
          <a:spLocks noChangeArrowheads="1"/>
        </xdr:cNvSpPr>
      </xdr:nvSpPr>
      <xdr:spPr>
        <a:xfrm>
          <a:off x="4010025" y="179355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57150</xdr:colOff>
      <xdr:row>107</xdr:row>
      <xdr:rowOff>85725</xdr:rowOff>
    </xdr:from>
    <xdr:to>
      <xdr:col>6</xdr:col>
      <xdr:colOff>381000</xdr:colOff>
      <xdr:row>111</xdr:row>
      <xdr:rowOff>104775</xdr:rowOff>
    </xdr:to>
    <xdr:sp>
      <xdr:nvSpPr>
        <xdr:cNvPr id="110" name="Line 132"/>
        <xdr:cNvSpPr>
          <a:spLocks/>
        </xdr:cNvSpPr>
      </xdr:nvSpPr>
      <xdr:spPr>
        <a:xfrm flipV="1">
          <a:off x="3714750" y="18164175"/>
          <a:ext cx="3238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108</xdr:row>
      <xdr:rowOff>123825</xdr:rowOff>
    </xdr:from>
    <xdr:to>
      <xdr:col>7</xdr:col>
      <xdr:colOff>0</xdr:colOff>
      <xdr:row>111</xdr:row>
      <xdr:rowOff>104775</xdr:rowOff>
    </xdr:to>
    <xdr:sp>
      <xdr:nvSpPr>
        <xdr:cNvPr id="111" name="Line 133"/>
        <xdr:cNvSpPr>
          <a:spLocks/>
        </xdr:cNvSpPr>
      </xdr:nvSpPr>
      <xdr:spPr>
        <a:xfrm flipV="1">
          <a:off x="3714750" y="18364200"/>
          <a:ext cx="5524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108</xdr:row>
      <xdr:rowOff>152400</xdr:rowOff>
    </xdr:from>
    <xdr:to>
      <xdr:col>7</xdr:col>
      <xdr:colOff>95250</xdr:colOff>
      <xdr:row>110</xdr:row>
      <xdr:rowOff>28575</xdr:rowOff>
    </xdr:to>
    <xdr:sp>
      <xdr:nvSpPr>
        <xdr:cNvPr id="112" name="TextBox 134"/>
        <xdr:cNvSpPr txBox="1">
          <a:spLocks noChangeArrowheads="1"/>
        </xdr:cNvSpPr>
      </xdr:nvSpPr>
      <xdr:spPr>
        <a:xfrm>
          <a:off x="4191000" y="183927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571500</xdr:colOff>
      <xdr:row>111</xdr:row>
      <xdr:rowOff>142875</xdr:rowOff>
    </xdr:from>
    <xdr:to>
      <xdr:col>6</xdr:col>
      <xdr:colOff>133350</xdr:colOff>
      <xdr:row>113</xdr:row>
      <xdr:rowOff>19050</xdr:rowOff>
    </xdr:to>
    <xdr:sp>
      <xdr:nvSpPr>
        <xdr:cNvPr id="113" name="TextBox 135"/>
        <xdr:cNvSpPr txBox="1">
          <a:spLocks noChangeArrowheads="1"/>
        </xdr:cNvSpPr>
      </xdr:nvSpPr>
      <xdr:spPr>
        <a:xfrm>
          <a:off x="3619500" y="188690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9</xdr:col>
      <xdr:colOff>104775</xdr:colOff>
      <xdr:row>110</xdr:row>
      <xdr:rowOff>95250</xdr:rowOff>
    </xdr:from>
    <xdr:to>
      <xdr:col>9</xdr:col>
      <xdr:colOff>304800</xdr:colOff>
      <xdr:row>112</xdr:row>
      <xdr:rowOff>9525</xdr:rowOff>
    </xdr:to>
    <xdr:sp>
      <xdr:nvSpPr>
        <xdr:cNvPr id="114" name="TextBox 136"/>
        <xdr:cNvSpPr txBox="1">
          <a:spLocks noChangeArrowheads="1"/>
        </xdr:cNvSpPr>
      </xdr:nvSpPr>
      <xdr:spPr>
        <a:xfrm>
          <a:off x="5591175" y="186594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</a:t>
          </a:r>
        </a:p>
      </xdr:txBody>
    </xdr:sp>
    <xdr:clientData/>
  </xdr:twoCellAnchor>
  <xdr:twoCellAnchor>
    <xdr:from>
      <xdr:col>9</xdr:col>
      <xdr:colOff>390525</xdr:colOff>
      <xdr:row>111</xdr:row>
      <xdr:rowOff>0</xdr:rowOff>
    </xdr:from>
    <xdr:to>
      <xdr:col>9</xdr:col>
      <xdr:colOff>571500</xdr:colOff>
      <xdr:row>111</xdr:row>
      <xdr:rowOff>114300</xdr:rowOff>
    </xdr:to>
    <xdr:sp>
      <xdr:nvSpPr>
        <xdr:cNvPr id="115" name="Arc 137"/>
        <xdr:cNvSpPr>
          <a:spLocks/>
        </xdr:cNvSpPr>
      </xdr:nvSpPr>
      <xdr:spPr>
        <a:xfrm rot="16200000">
          <a:off x="5876925" y="18726150"/>
          <a:ext cx="180975" cy="114300"/>
        </a:xfrm>
        <a:prstGeom prst="arc">
          <a:avLst>
            <a:gd name="adj" fmla="val -16450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106</xdr:row>
      <xdr:rowOff>152400</xdr:rowOff>
    </xdr:from>
    <xdr:to>
      <xdr:col>7</xdr:col>
      <xdr:colOff>285750</xdr:colOff>
      <xdr:row>109</xdr:row>
      <xdr:rowOff>0</xdr:rowOff>
    </xdr:to>
    <xdr:sp>
      <xdr:nvSpPr>
        <xdr:cNvPr id="116" name="Oval 160"/>
        <xdr:cNvSpPr>
          <a:spLocks/>
        </xdr:cNvSpPr>
      </xdr:nvSpPr>
      <xdr:spPr>
        <a:xfrm>
          <a:off x="4219575" y="18068925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109</xdr:row>
      <xdr:rowOff>95250</xdr:rowOff>
    </xdr:from>
    <xdr:to>
      <xdr:col>8</xdr:col>
      <xdr:colOff>104775</xdr:colOff>
      <xdr:row>111</xdr:row>
      <xdr:rowOff>104775</xdr:rowOff>
    </xdr:to>
    <xdr:sp>
      <xdr:nvSpPr>
        <xdr:cNvPr id="117" name="Oval 161"/>
        <xdr:cNvSpPr>
          <a:spLocks/>
        </xdr:cNvSpPr>
      </xdr:nvSpPr>
      <xdr:spPr>
        <a:xfrm>
          <a:off x="4648200" y="18497550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108</xdr:row>
      <xdr:rowOff>9525</xdr:rowOff>
    </xdr:from>
    <xdr:to>
      <xdr:col>7</xdr:col>
      <xdr:colOff>561975</xdr:colOff>
      <xdr:row>113</xdr:row>
      <xdr:rowOff>85725</xdr:rowOff>
    </xdr:to>
    <xdr:sp>
      <xdr:nvSpPr>
        <xdr:cNvPr id="118" name="Arc 162"/>
        <xdr:cNvSpPr>
          <a:spLocks/>
        </xdr:cNvSpPr>
      </xdr:nvSpPr>
      <xdr:spPr>
        <a:xfrm>
          <a:off x="4362450" y="18249900"/>
          <a:ext cx="466725" cy="885825"/>
        </a:xfrm>
        <a:prstGeom prst="arc">
          <a:avLst>
            <a:gd name="adj" fmla="val -10194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112</xdr:row>
      <xdr:rowOff>28575</xdr:rowOff>
    </xdr:from>
    <xdr:to>
      <xdr:col>7</xdr:col>
      <xdr:colOff>552450</xdr:colOff>
      <xdr:row>114</xdr:row>
      <xdr:rowOff>95250</xdr:rowOff>
    </xdr:to>
    <xdr:grpSp>
      <xdr:nvGrpSpPr>
        <xdr:cNvPr id="119" name="Group 163"/>
        <xdr:cNvGrpSpPr>
          <a:grpSpLocks/>
        </xdr:cNvGrpSpPr>
      </xdr:nvGrpSpPr>
      <xdr:grpSpPr>
        <a:xfrm rot="5400000">
          <a:off x="4448175" y="18916650"/>
          <a:ext cx="371475" cy="390525"/>
          <a:chOff x="143" y="357"/>
          <a:chExt cx="37" cy="102"/>
        </a:xfrm>
        <a:solidFill>
          <a:srgbClr val="FFFFFF"/>
        </a:solidFill>
      </xdr:grpSpPr>
      <xdr:sp>
        <xdr:nvSpPr>
          <xdr:cNvPr id="120" name="Line 164"/>
          <xdr:cNvSpPr>
            <a:spLocks/>
          </xdr:cNvSpPr>
        </xdr:nvSpPr>
        <xdr:spPr>
          <a:xfrm>
            <a:off x="143" y="35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5"/>
          <xdr:cNvSpPr>
            <a:spLocks/>
          </xdr:cNvSpPr>
        </xdr:nvSpPr>
        <xdr:spPr>
          <a:xfrm>
            <a:off x="144" y="45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66"/>
          <xdr:cNvSpPr>
            <a:spLocks/>
          </xdr:cNvSpPr>
        </xdr:nvSpPr>
        <xdr:spPr>
          <a:xfrm>
            <a:off x="167" y="357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219075</xdr:colOff>
      <xdr:row>112</xdr:row>
      <xdr:rowOff>28575</xdr:rowOff>
    </xdr:from>
    <xdr:to>
      <xdr:col>8</xdr:col>
      <xdr:colOff>19050</xdr:colOff>
      <xdr:row>113</xdr:row>
      <xdr:rowOff>76200</xdr:rowOff>
    </xdr:to>
    <xdr:sp>
      <xdr:nvSpPr>
        <xdr:cNvPr id="123" name="TextBox 167"/>
        <xdr:cNvSpPr txBox="1">
          <a:spLocks noChangeArrowheads="1"/>
        </xdr:cNvSpPr>
      </xdr:nvSpPr>
      <xdr:spPr>
        <a:xfrm>
          <a:off x="4486275" y="1891665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cad</a:t>
          </a:r>
        </a:p>
      </xdr:txBody>
    </xdr:sp>
    <xdr:clientData/>
  </xdr:twoCellAnchor>
  <xdr:twoCellAnchor>
    <xdr:from>
      <xdr:col>6</xdr:col>
      <xdr:colOff>171450</xdr:colOff>
      <xdr:row>101</xdr:row>
      <xdr:rowOff>76200</xdr:rowOff>
    </xdr:from>
    <xdr:to>
      <xdr:col>6</xdr:col>
      <xdr:colOff>342900</xdr:colOff>
      <xdr:row>102</xdr:row>
      <xdr:rowOff>114300</xdr:rowOff>
    </xdr:to>
    <xdr:sp>
      <xdr:nvSpPr>
        <xdr:cNvPr id="124" name="TextBox 169"/>
        <xdr:cNvSpPr txBox="1">
          <a:spLocks noChangeArrowheads="1"/>
        </xdr:cNvSpPr>
      </xdr:nvSpPr>
      <xdr:spPr>
        <a:xfrm>
          <a:off x="3829050" y="171831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57150</xdr:colOff>
      <xdr:row>101</xdr:row>
      <xdr:rowOff>47625</xdr:rowOff>
    </xdr:from>
    <xdr:to>
      <xdr:col>6</xdr:col>
      <xdr:colOff>57150</xdr:colOff>
      <xdr:row>111</xdr:row>
      <xdr:rowOff>114300</xdr:rowOff>
    </xdr:to>
    <xdr:sp>
      <xdr:nvSpPr>
        <xdr:cNvPr id="125" name="Line 170"/>
        <xdr:cNvSpPr>
          <a:spLocks/>
        </xdr:cNvSpPr>
      </xdr:nvSpPr>
      <xdr:spPr>
        <a:xfrm flipV="1">
          <a:off x="3714750" y="17154525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28575</xdr:rowOff>
    </xdr:from>
    <xdr:to>
      <xdr:col>10</xdr:col>
      <xdr:colOff>180975</xdr:colOff>
      <xdr:row>111</xdr:row>
      <xdr:rowOff>66675</xdr:rowOff>
    </xdr:to>
    <xdr:sp>
      <xdr:nvSpPr>
        <xdr:cNvPr id="126" name="TextBox 171"/>
        <xdr:cNvSpPr txBox="1">
          <a:spLocks noChangeArrowheads="1"/>
        </xdr:cNvSpPr>
      </xdr:nvSpPr>
      <xdr:spPr>
        <a:xfrm>
          <a:off x="6105525" y="185928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76200</xdr:colOff>
      <xdr:row>111</xdr:row>
      <xdr:rowOff>104775</xdr:rowOff>
    </xdr:from>
    <xdr:to>
      <xdr:col>10</xdr:col>
      <xdr:colOff>228600</xdr:colOff>
      <xdr:row>111</xdr:row>
      <xdr:rowOff>104775</xdr:rowOff>
    </xdr:to>
    <xdr:sp>
      <xdr:nvSpPr>
        <xdr:cNvPr id="127" name="Line 172"/>
        <xdr:cNvSpPr>
          <a:spLocks/>
        </xdr:cNvSpPr>
      </xdr:nvSpPr>
      <xdr:spPr>
        <a:xfrm>
          <a:off x="3733800" y="188309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110</xdr:row>
      <xdr:rowOff>133350</xdr:rowOff>
    </xdr:from>
    <xdr:to>
      <xdr:col>6</xdr:col>
      <xdr:colOff>342900</xdr:colOff>
      <xdr:row>111</xdr:row>
      <xdr:rowOff>95250</xdr:rowOff>
    </xdr:to>
    <xdr:sp>
      <xdr:nvSpPr>
        <xdr:cNvPr id="128" name="Arc 175"/>
        <xdr:cNvSpPr>
          <a:spLocks/>
        </xdr:cNvSpPr>
      </xdr:nvSpPr>
      <xdr:spPr>
        <a:xfrm>
          <a:off x="3867150" y="18697575"/>
          <a:ext cx="133350" cy="1238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110</xdr:row>
      <xdr:rowOff>57150</xdr:rowOff>
    </xdr:from>
    <xdr:to>
      <xdr:col>7</xdr:col>
      <xdr:colOff>57150</xdr:colOff>
      <xdr:row>111</xdr:row>
      <xdr:rowOff>123825</xdr:rowOff>
    </xdr:to>
    <xdr:sp>
      <xdr:nvSpPr>
        <xdr:cNvPr id="129" name="TextBox 176"/>
        <xdr:cNvSpPr txBox="1">
          <a:spLocks noChangeArrowheads="1"/>
        </xdr:cNvSpPr>
      </xdr:nvSpPr>
      <xdr:spPr>
        <a:xfrm>
          <a:off x="3990975" y="1862137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Symbol"/>
              <a:ea typeface="Symbol"/>
              <a:cs typeface="Symbo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152400</xdr:colOff>
      <xdr:row>48</xdr:row>
      <xdr:rowOff>133350</xdr:rowOff>
    </xdr:from>
    <xdr:to>
      <xdr:col>2</xdr:col>
      <xdr:colOff>485775</xdr:colOff>
      <xdr:row>50</xdr:row>
      <xdr:rowOff>142875</xdr:rowOff>
    </xdr:to>
    <xdr:sp>
      <xdr:nvSpPr>
        <xdr:cNvPr id="130" name="Oval 180"/>
        <xdr:cNvSpPr>
          <a:spLocks/>
        </xdr:cNvSpPr>
      </xdr:nvSpPr>
      <xdr:spPr>
        <a:xfrm>
          <a:off x="1371600" y="8391525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49</xdr:row>
      <xdr:rowOff>114300</xdr:rowOff>
    </xdr:from>
    <xdr:to>
      <xdr:col>2</xdr:col>
      <xdr:colOff>333375</xdr:colOff>
      <xdr:row>50</xdr:row>
      <xdr:rowOff>123825</xdr:rowOff>
    </xdr:to>
    <xdr:sp>
      <xdr:nvSpPr>
        <xdr:cNvPr id="131" name="Line 181"/>
        <xdr:cNvSpPr>
          <a:spLocks/>
        </xdr:cNvSpPr>
      </xdr:nvSpPr>
      <xdr:spPr>
        <a:xfrm flipV="1">
          <a:off x="1485900" y="8534400"/>
          <a:ext cx="66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49</xdr:row>
      <xdr:rowOff>76200</xdr:rowOff>
    </xdr:from>
    <xdr:to>
      <xdr:col>2</xdr:col>
      <xdr:colOff>371475</xdr:colOff>
      <xdr:row>49</xdr:row>
      <xdr:rowOff>152400</xdr:rowOff>
    </xdr:to>
    <xdr:sp>
      <xdr:nvSpPr>
        <xdr:cNvPr id="132" name="Oval 182"/>
        <xdr:cNvSpPr>
          <a:spLocks/>
        </xdr:cNvSpPr>
      </xdr:nvSpPr>
      <xdr:spPr>
        <a:xfrm>
          <a:off x="1514475" y="84963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47</xdr:row>
      <xdr:rowOff>85725</xdr:rowOff>
    </xdr:from>
    <xdr:to>
      <xdr:col>2</xdr:col>
      <xdr:colOff>238125</xdr:colOff>
      <xdr:row>48</xdr:row>
      <xdr:rowOff>123825</xdr:rowOff>
    </xdr:to>
    <xdr:sp>
      <xdr:nvSpPr>
        <xdr:cNvPr id="133" name="TextBox 183"/>
        <xdr:cNvSpPr txBox="1">
          <a:spLocks noChangeArrowheads="1"/>
        </xdr:cNvSpPr>
      </xdr:nvSpPr>
      <xdr:spPr>
        <a:xfrm>
          <a:off x="1133475" y="8181975"/>
          <a:ext cx="3238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C.M.</a:t>
          </a:r>
        </a:p>
      </xdr:txBody>
    </xdr:sp>
    <xdr:clientData/>
  </xdr:twoCellAnchor>
  <xdr:twoCellAnchor>
    <xdr:from>
      <xdr:col>2</xdr:col>
      <xdr:colOff>209550</xdr:colOff>
      <xdr:row>48</xdr:row>
      <xdr:rowOff>123825</xdr:rowOff>
    </xdr:from>
    <xdr:to>
      <xdr:col>2</xdr:col>
      <xdr:colOff>314325</xdr:colOff>
      <xdr:row>49</xdr:row>
      <xdr:rowOff>104775</xdr:rowOff>
    </xdr:to>
    <xdr:sp>
      <xdr:nvSpPr>
        <xdr:cNvPr id="134" name="Line 184"/>
        <xdr:cNvSpPr>
          <a:spLocks/>
        </xdr:cNvSpPr>
      </xdr:nvSpPr>
      <xdr:spPr>
        <a:xfrm>
          <a:off x="1428750" y="8382000"/>
          <a:ext cx="104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</xdr:row>
      <xdr:rowOff>19050</xdr:rowOff>
    </xdr:from>
    <xdr:to>
      <xdr:col>14</xdr:col>
      <xdr:colOff>114300</xdr:colOff>
      <xdr:row>18</xdr:row>
      <xdr:rowOff>28575</xdr:rowOff>
    </xdr:to>
    <xdr:graphicFrame>
      <xdr:nvGraphicFramePr>
        <xdr:cNvPr id="1" name="Chart 3"/>
        <xdr:cNvGraphicFramePr/>
      </xdr:nvGraphicFramePr>
      <xdr:xfrm>
        <a:off x="3971925" y="7715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workbookViewId="0" topLeftCell="A1">
      <selection activeCell="A1" sqref="A1"/>
    </sheetView>
  </sheetViews>
  <sheetFormatPr defaultColWidth="9.140625" defaultRowHeight="12.75"/>
  <sheetData>
    <row r="1" ht="18">
      <c r="A1" s="18" t="s">
        <v>104</v>
      </c>
    </row>
    <row r="12" ht="15.75">
      <c r="B12" s="1" t="s">
        <v>0</v>
      </c>
    </row>
    <row r="23" spans="5:9" ht="15.75">
      <c r="E23" s="1" t="s">
        <v>3</v>
      </c>
      <c r="I23" s="1" t="s">
        <v>2</v>
      </c>
    </row>
    <row r="25" ht="15.75">
      <c r="G25" s="1" t="s">
        <v>1</v>
      </c>
    </row>
    <row r="29" ht="15.75">
      <c r="A29" t="s">
        <v>102</v>
      </c>
    </row>
    <row r="30" ht="12.75">
      <c r="A30" t="s">
        <v>4</v>
      </c>
    </row>
    <row r="32" spans="1:3" ht="12.75">
      <c r="A32" t="s">
        <v>6</v>
      </c>
      <c r="B32" s="4">
        <v>3</v>
      </c>
      <c r="C32" t="s">
        <v>7</v>
      </c>
    </row>
    <row r="33" spans="1:5" ht="15.75">
      <c r="A33" s="5" t="s">
        <v>8</v>
      </c>
      <c r="B33" s="4">
        <v>15</v>
      </c>
      <c r="C33" t="s">
        <v>9</v>
      </c>
      <c r="D33" s="3">
        <f>B33*PI()/180</f>
        <v>0.2617993877991494</v>
      </c>
      <c r="E33" t="s">
        <v>10</v>
      </c>
    </row>
    <row r="35" spans="1:3" ht="15.75">
      <c r="A35" s="2" t="s">
        <v>5</v>
      </c>
      <c r="B35" s="3">
        <f>3*SQRT(3)/4*R_</f>
        <v>3.897114317029974</v>
      </c>
      <c r="C35" t="s">
        <v>7</v>
      </c>
    </row>
    <row r="36" spans="1:3" ht="15.75">
      <c r="A36" s="2" t="s">
        <v>11</v>
      </c>
      <c r="B36" s="3">
        <f>B35/TAN(alfa0)</f>
        <v>14.544228634059948</v>
      </c>
      <c r="C36" t="s">
        <v>7</v>
      </c>
    </row>
    <row r="37" spans="1:3" ht="15.75">
      <c r="A37" s="2" t="s">
        <v>12</v>
      </c>
      <c r="B37" s="3">
        <f>R_/SIN(alfa0)</f>
        <v>11.59110991546882</v>
      </c>
      <c r="C37" t="s">
        <v>7</v>
      </c>
    </row>
    <row r="38" spans="1:3" ht="15.75">
      <c r="A38" s="2" t="s">
        <v>13</v>
      </c>
      <c r="B38" s="3">
        <f>B36-B37</f>
        <v>2.953118718591128</v>
      </c>
      <c r="C38" t="s">
        <v>7</v>
      </c>
    </row>
    <row r="40" ht="15.75">
      <c r="A40" t="s">
        <v>14</v>
      </c>
    </row>
    <row r="41" ht="15.75">
      <c r="A41" t="s">
        <v>94</v>
      </c>
    </row>
    <row r="42" ht="12.75">
      <c r="A42" t="s">
        <v>95</v>
      </c>
    </row>
    <row r="56" ht="12.75">
      <c r="B56" s="1" t="s">
        <v>17</v>
      </c>
    </row>
    <row r="67" spans="5:9" ht="15.75">
      <c r="E67" s="6" t="s">
        <v>18</v>
      </c>
      <c r="I67" s="1" t="s">
        <v>15</v>
      </c>
    </row>
    <row r="69" ht="12.75">
      <c r="G69" s="1" t="s">
        <v>16</v>
      </c>
    </row>
    <row r="73" ht="12.75">
      <c r="A73" t="s">
        <v>19</v>
      </c>
    </row>
    <row r="80" ht="12.75">
      <c r="A80" t="s">
        <v>20</v>
      </c>
    </row>
    <row r="81" ht="12.75">
      <c r="A81" t="s">
        <v>21</v>
      </c>
    </row>
    <row r="83" ht="15.75">
      <c r="A83" t="s">
        <v>37</v>
      </c>
    </row>
    <row r="85" ht="12.75">
      <c r="A85" t="s">
        <v>22</v>
      </c>
    </row>
    <row r="87" spans="1:4" ht="15.75">
      <c r="A87" t="s">
        <v>24</v>
      </c>
      <c r="B87" s="4">
        <v>2</v>
      </c>
      <c r="C87" t="s">
        <v>23</v>
      </c>
      <c r="D87" t="s">
        <v>26</v>
      </c>
    </row>
    <row r="88" spans="1:4" ht="15.75">
      <c r="A88" t="s">
        <v>25</v>
      </c>
      <c r="B88" s="4">
        <v>0.5</v>
      </c>
      <c r="C88" t="s">
        <v>23</v>
      </c>
      <c r="D88" t="s">
        <v>27</v>
      </c>
    </row>
    <row r="89" spans="1:4" ht="15.75">
      <c r="A89" t="s">
        <v>28</v>
      </c>
      <c r="B89" s="4">
        <v>0.3</v>
      </c>
      <c r="C89" t="s">
        <v>7</v>
      </c>
      <c r="D89" t="s">
        <v>29</v>
      </c>
    </row>
    <row r="95" spans="1:3" ht="15.75">
      <c r="A95" t="s">
        <v>30</v>
      </c>
      <c r="B95" s="7">
        <f>B87*B89^2+B87*B89^2+B88*B89^2</f>
        <v>0.40499999999999997</v>
      </c>
      <c r="C95" t="s">
        <v>7</v>
      </c>
    </row>
    <row r="96" spans="1:3" ht="15.75">
      <c r="A96" t="s">
        <v>38</v>
      </c>
      <c r="B96" s="7">
        <f>B87+B88</f>
        <v>2.5</v>
      </c>
      <c r="C96" t="s">
        <v>23</v>
      </c>
    </row>
    <row r="98" ht="12.75">
      <c r="A98" t="s">
        <v>31</v>
      </c>
    </row>
    <row r="99" ht="12.75">
      <c r="A99" t="s">
        <v>32</v>
      </c>
    </row>
    <row r="119" ht="12.75">
      <c r="A119" t="s">
        <v>33</v>
      </c>
    </row>
    <row r="127" ht="12.75">
      <c r="A127" t="s">
        <v>34</v>
      </c>
    </row>
    <row r="132" spans="1:4" ht="12.75">
      <c r="A132" t="s">
        <v>42</v>
      </c>
      <c r="B132" s="14">
        <v>9.81</v>
      </c>
      <c r="C132" t="s">
        <v>43</v>
      </c>
      <c r="D132" t="s">
        <v>44</v>
      </c>
    </row>
    <row r="134" ht="15.75">
      <c r="A134" t="s">
        <v>35</v>
      </c>
    </row>
    <row r="136" ht="12.75">
      <c r="A136" t="s">
        <v>39</v>
      </c>
    </row>
    <row r="138" spans="1:2" ht="15.75">
      <c r="A138" t="s">
        <v>96</v>
      </c>
      <c r="B138" t="s">
        <v>40</v>
      </c>
    </row>
    <row r="140" ht="15.75">
      <c r="A140" t="s">
        <v>36</v>
      </c>
    </row>
    <row r="143" ht="12.75">
      <c r="E143" t="s">
        <v>41</v>
      </c>
    </row>
    <row r="147" ht="15.75">
      <c r="A147" t="s">
        <v>101</v>
      </c>
    </row>
    <row r="155" ht="12.75">
      <c r="A155" t="s">
        <v>97</v>
      </c>
    </row>
    <row r="157" spans="1:3" ht="15.75">
      <c r="A157" s="8" t="s">
        <v>50</v>
      </c>
      <c r="B157" s="7">
        <v>36.47050851220937</v>
      </c>
      <c r="C157" t="s">
        <v>9</v>
      </c>
    </row>
    <row r="159" ht="12.75">
      <c r="A159" t="s">
        <v>98</v>
      </c>
    </row>
    <row r="161" ht="12.75">
      <c r="A161" t="s">
        <v>99</v>
      </c>
    </row>
    <row r="168" ht="12.75">
      <c r="A168" t="s">
        <v>100</v>
      </c>
    </row>
    <row r="170" spans="1:5" ht="12.75">
      <c r="A170" t="s">
        <v>49</v>
      </c>
      <c r="B170" s="3">
        <v>7.75241539</v>
      </c>
      <c r="C170" t="s">
        <v>9</v>
      </c>
      <c r="D170" s="3">
        <f>B170*PI()/180</f>
        <v>0.1353051735377803</v>
      </c>
      <c r="E170" t="s">
        <v>10</v>
      </c>
    </row>
    <row r="171" spans="2:4" ht="12.75">
      <c r="B171" s="3"/>
      <c r="D171" s="3"/>
    </row>
    <row r="172" spans="1:4" ht="12.75">
      <c r="A172" t="s">
        <v>103</v>
      </c>
      <c r="B172" s="3"/>
      <c r="D172" s="3"/>
    </row>
    <row r="173" ht="13.5" thickBot="1"/>
    <row r="174" spans="1:3" ht="13.5" thickBot="1">
      <c r="A174" s="15" t="s">
        <v>51</v>
      </c>
      <c r="B174" s="16">
        <f>(B38+R_/SIN(D170))*TAN(D170)</f>
        <v>3.4297009024074034</v>
      </c>
      <c r="C174" s="17" t="s">
        <v>7</v>
      </c>
    </row>
  </sheetData>
  <printOptions/>
  <pageMargins left="0.75" right="0.75" top="1" bottom="1" header="0.5" footer="0.5"/>
  <pageSetup horizontalDpi="300" verticalDpi="300" orientation="portrait" r:id="rId11"/>
  <drawing r:id="rId10"/>
  <legacyDrawing r:id="rId9"/>
  <oleObjects>
    <oleObject progId="Mathcad" shapeId="260169" r:id="rId1"/>
    <oleObject progId="Mathcad" shapeId="295785" r:id="rId2"/>
    <oleObject progId="Mathcad" shapeId="360007" r:id="rId3"/>
    <oleObject progId="Mathcad" shapeId="372633" r:id="rId4"/>
    <oleObject progId="Mathcad" shapeId="373746" r:id="rId5"/>
    <oleObject progId="Mathcad" shapeId="742798" r:id="rId6"/>
    <oleObject progId="Mathcad" shapeId="758171" r:id="rId7"/>
    <oleObject progId="Mathcad" shapeId="76459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A2" sqref="A2"/>
    </sheetView>
  </sheetViews>
  <sheetFormatPr defaultColWidth="9.140625" defaultRowHeight="12.75"/>
  <sheetData>
    <row r="1" ht="18">
      <c r="A1" s="18" t="s">
        <v>105</v>
      </c>
    </row>
    <row r="3" spans="1:5" ht="15.75">
      <c r="A3" t="s">
        <v>52</v>
      </c>
      <c r="B3" s="7">
        <f>D3*180/PI()</f>
        <v>14.999999999999998</v>
      </c>
      <c r="C3" t="s">
        <v>9</v>
      </c>
      <c r="D3" s="3">
        <f>alfa0</f>
        <v>0.2617993877991494</v>
      </c>
      <c r="E3" t="s">
        <v>10</v>
      </c>
    </row>
    <row r="4" spans="1:5" ht="12.75">
      <c r="A4" t="s">
        <v>49</v>
      </c>
      <c r="B4" s="4">
        <v>7.75241539</v>
      </c>
      <c r="C4" t="s">
        <v>9</v>
      </c>
      <c r="D4" s="3">
        <f>B4*PI()/180</f>
        <v>0.1353051735377803</v>
      </c>
      <c r="E4" t="s">
        <v>10</v>
      </c>
    </row>
    <row r="5" spans="1:5" ht="15.75">
      <c r="A5" s="8" t="s">
        <v>50</v>
      </c>
      <c r="B5" s="7">
        <f>L46</f>
        <v>36.47050851220937</v>
      </c>
      <c r="C5" t="s">
        <v>9</v>
      </c>
      <c r="D5" s="3">
        <f>B5*PI()/180</f>
        <v>0.6365304534146721</v>
      </c>
      <c r="E5" t="s">
        <v>10</v>
      </c>
    </row>
    <row r="6" spans="1:4" ht="12.75">
      <c r="A6" s="8"/>
      <c r="B6" s="4"/>
      <c r="D6" s="3"/>
    </row>
    <row r="7" spans="1:4" ht="15.75">
      <c r="A7" t="s">
        <v>30</v>
      </c>
      <c r="B7" s="4">
        <f>IP</f>
        <v>0.40499999999999997</v>
      </c>
      <c r="C7" t="s">
        <v>88</v>
      </c>
      <c r="D7" s="3"/>
    </row>
    <row r="8" spans="1:4" ht="15.75">
      <c r="A8" t="s">
        <v>89</v>
      </c>
      <c r="B8" s="4">
        <f>mc*rc_^2</f>
        <v>0.18</v>
      </c>
      <c r="C8" t="s">
        <v>88</v>
      </c>
      <c r="D8" s="3"/>
    </row>
    <row r="9" spans="1:4" ht="12.75">
      <c r="A9" s="8"/>
      <c r="B9" s="4"/>
      <c r="D9" s="3"/>
    </row>
    <row r="10" spans="1:4" ht="15.75">
      <c r="A10" t="s">
        <v>55</v>
      </c>
      <c r="B10" s="4">
        <f>R_*3*SQRT(3)/4</f>
        <v>3.8971143170299736</v>
      </c>
      <c r="C10" t="s">
        <v>7</v>
      </c>
      <c r="D10" s="3"/>
    </row>
    <row r="11" spans="1:4" ht="15.75">
      <c r="A11" t="s">
        <v>54</v>
      </c>
      <c r="B11" s="7">
        <f>R_/SIN(alfa0)</f>
        <v>11.59110991546882</v>
      </c>
      <c r="C11" t="s">
        <v>7</v>
      </c>
      <c r="D11" s="3"/>
    </row>
    <row r="12" spans="1:4" ht="15.75">
      <c r="A12" t="s">
        <v>56</v>
      </c>
      <c r="B12" s="7">
        <f>B10/TAN(alfa0)</f>
        <v>14.544228634059946</v>
      </c>
      <c r="C12" t="s">
        <v>7</v>
      </c>
      <c r="D12" s="3"/>
    </row>
    <row r="13" spans="1:4" ht="15.75">
      <c r="A13" t="s">
        <v>57</v>
      </c>
      <c r="B13" s="7">
        <f>B12-B11</f>
        <v>2.953118718591126</v>
      </c>
      <c r="C13" t="s">
        <v>7</v>
      </c>
      <c r="D13" s="3"/>
    </row>
    <row r="14" spans="1:4" ht="12.75">
      <c r="A14" s="8"/>
      <c r="B14" s="4"/>
      <c r="D14" s="3"/>
    </row>
    <row r="15" spans="1:6" ht="15.75">
      <c r="A15" t="s">
        <v>58</v>
      </c>
      <c r="B15" s="3">
        <f>R_/SIN(alfa)</f>
        <v>22.23989855945507</v>
      </c>
      <c r="C15" t="s">
        <v>7</v>
      </c>
      <c r="D15" t="s">
        <v>53</v>
      </c>
      <c r="E15" s="3">
        <f>R_/TAN(alfa)</f>
        <v>22.036630593964485</v>
      </c>
      <c r="F15" t="s">
        <v>7</v>
      </c>
    </row>
    <row r="16" spans="1:6" ht="15.75">
      <c r="A16" t="s">
        <v>59</v>
      </c>
      <c r="B16" s="3">
        <f>B13</f>
        <v>2.953118718591126</v>
      </c>
      <c r="C16" t="s">
        <v>7</v>
      </c>
      <c r="D16" t="s">
        <v>62</v>
      </c>
      <c r="E16" s="3">
        <f>E17-E15</f>
        <v>3.3887694589729023</v>
      </c>
      <c r="F16" t="s">
        <v>7</v>
      </c>
    </row>
    <row r="17" spans="1:6" ht="12.75">
      <c r="A17" t="s">
        <v>60</v>
      </c>
      <c r="B17" s="3">
        <f>B15+B16</f>
        <v>25.1930172780462</v>
      </c>
      <c r="C17" t="s">
        <v>7</v>
      </c>
      <c r="D17" t="s">
        <v>61</v>
      </c>
      <c r="E17" s="3">
        <f>B17/COS(alfa)</f>
        <v>25.425400052937388</v>
      </c>
      <c r="F17" t="s">
        <v>7</v>
      </c>
    </row>
    <row r="18" spans="1:5" ht="12.75">
      <c r="A18" t="s">
        <v>51</v>
      </c>
      <c r="B18" s="3">
        <f>B17*TAN(alfa)</f>
        <v>3.4297009024074034</v>
      </c>
      <c r="C18" t="s">
        <v>7</v>
      </c>
      <c r="E18" s="3"/>
    </row>
    <row r="19" spans="2:5" ht="12.75">
      <c r="B19" s="3"/>
      <c r="E19" s="3"/>
    </row>
    <row r="20" spans="1:5" ht="15.75">
      <c r="A20" t="s">
        <v>90</v>
      </c>
      <c r="B20" s="4">
        <v>0.5</v>
      </c>
      <c r="C20" t="s">
        <v>7</v>
      </c>
      <c r="E20" s="3"/>
    </row>
    <row r="21" spans="1:5" ht="15.75">
      <c r="A21" t="s">
        <v>91</v>
      </c>
      <c r="B21" s="4">
        <f>B16+R_+B20</f>
        <v>6.453118718591126</v>
      </c>
      <c r="C21" t="s">
        <v>7</v>
      </c>
      <c r="E21" s="3"/>
    </row>
    <row r="23" spans="1:3" ht="14.25">
      <c r="A23" s="5" t="s">
        <v>69</v>
      </c>
      <c r="B23" s="3">
        <f>mt*g*SIN(alfa)*rc_/IP</f>
        <v>2.4505507457375466</v>
      </c>
      <c r="C23" s="1" t="s">
        <v>68</v>
      </c>
    </row>
    <row r="24" spans="1:15" ht="12.75">
      <c r="A24" s="5"/>
      <c r="C24" s="1"/>
      <c r="K24" s="9" t="s">
        <v>86</v>
      </c>
      <c r="L24" s="12"/>
      <c r="M24" s="12"/>
      <c r="N24" s="12"/>
      <c r="O24" s="10"/>
    </row>
    <row r="25" spans="5:15" ht="12.75">
      <c r="E25" s="9" t="s">
        <v>63</v>
      </c>
      <c r="F25" s="12"/>
      <c r="G25" s="10"/>
      <c r="K25" s="9" t="s">
        <v>81</v>
      </c>
      <c r="L25" s="12"/>
      <c r="M25" s="10"/>
      <c r="N25" s="9" t="s">
        <v>85</v>
      </c>
      <c r="O25" s="10"/>
    </row>
    <row r="26" spans="1:18" ht="15.75">
      <c r="A26" s="1" t="s">
        <v>45</v>
      </c>
      <c r="B26" s="11" t="s">
        <v>64</v>
      </c>
      <c r="C26" s="11" t="s">
        <v>65</v>
      </c>
      <c r="D26" s="11" t="s">
        <v>66</v>
      </c>
      <c r="E26" s="1" t="s">
        <v>78</v>
      </c>
      <c r="F26" s="1" t="s">
        <v>46</v>
      </c>
      <c r="G26" s="1" t="s">
        <v>47</v>
      </c>
      <c r="H26" s="1" t="s">
        <v>71</v>
      </c>
      <c r="I26" s="1" t="s">
        <v>73</v>
      </c>
      <c r="J26" s="1" t="s">
        <v>74</v>
      </c>
      <c r="K26" s="11" t="s">
        <v>79</v>
      </c>
      <c r="L26" s="11" t="s">
        <v>79</v>
      </c>
      <c r="M26" s="11" t="s">
        <v>80</v>
      </c>
      <c r="N26" s="1" t="s">
        <v>87</v>
      </c>
      <c r="O26" s="1" t="s">
        <v>83</v>
      </c>
      <c r="P26" s="1" t="s">
        <v>70</v>
      </c>
      <c r="Q26" s="1" t="s">
        <v>76</v>
      </c>
      <c r="R26" s="1" t="s">
        <v>77</v>
      </c>
    </row>
    <row r="27" spans="1:18" ht="14.25">
      <c r="A27" s="1" t="s">
        <v>48</v>
      </c>
      <c r="B27" s="1" t="s">
        <v>10</v>
      </c>
      <c r="C27" s="1" t="s">
        <v>67</v>
      </c>
      <c r="D27" s="1" t="s">
        <v>68</v>
      </c>
      <c r="E27" s="1" t="s">
        <v>7</v>
      </c>
      <c r="F27" s="1" t="s">
        <v>7</v>
      </c>
      <c r="G27" s="1" t="s">
        <v>7</v>
      </c>
      <c r="H27" s="1" t="s">
        <v>72</v>
      </c>
      <c r="I27" s="1" t="s">
        <v>72</v>
      </c>
      <c r="J27" s="1" t="s">
        <v>72</v>
      </c>
      <c r="K27" s="1" t="s">
        <v>10</v>
      </c>
      <c r="L27" s="1" t="s">
        <v>9</v>
      </c>
      <c r="M27" s="1" t="s">
        <v>67</v>
      </c>
      <c r="N27" s="1" t="s">
        <v>84</v>
      </c>
      <c r="O27" s="1" t="s">
        <v>84</v>
      </c>
      <c r="P27" s="1" t="s">
        <v>75</v>
      </c>
      <c r="Q27" s="1" t="s">
        <v>75</v>
      </c>
      <c r="R27" s="1" t="s">
        <v>75</v>
      </c>
    </row>
    <row r="28" ht="12.75">
      <c r="C28" s="1"/>
    </row>
    <row r="29" spans="1:18" ht="12.75">
      <c r="A29" s="4">
        <v>0</v>
      </c>
      <c r="B29" s="4">
        <v>0</v>
      </c>
      <c r="C29" s="4">
        <v>0</v>
      </c>
      <c r="D29" s="4">
        <f>$B$23</f>
        <v>2.4505507457375466</v>
      </c>
      <c r="E29" s="3">
        <f>rc_*B29</f>
        <v>0</v>
      </c>
      <c r="F29" s="3">
        <f>rc_*SIN(alfa)+E29*COS(alfa)</f>
        <v>0.04046781048006957</v>
      </c>
      <c r="G29" s="3">
        <f>H+rc_*COS(alfa)-rc_*B29*SIN(alfa)</f>
        <v>3.7269589659060225</v>
      </c>
      <c r="H29" s="3">
        <f>rc_*C29*COS(alfa)</f>
        <v>0</v>
      </c>
      <c r="I29" s="3">
        <f>rc_*C29*SIN(alfa)</f>
        <v>0</v>
      </c>
      <c r="J29" s="3">
        <f>SQRT(H29^2+I29^2)</f>
        <v>0</v>
      </c>
      <c r="K29" s="6" t="s">
        <v>82</v>
      </c>
      <c r="L29" s="6" t="s">
        <v>82</v>
      </c>
      <c r="M29" s="6" t="s">
        <v>82</v>
      </c>
      <c r="N29" s="6" t="s">
        <v>82</v>
      </c>
      <c r="O29" s="6" t="s">
        <v>82</v>
      </c>
      <c r="P29" s="3">
        <f>1/2*IP*C29^2</f>
        <v>0</v>
      </c>
      <c r="Q29" s="3">
        <f>mt*g*G29</f>
        <v>91.4036686388452</v>
      </c>
      <c r="R29" s="3">
        <f>P29+Q29</f>
        <v>91.4036686388452</v>
      </c>
    </row>
    <row r="30" spans="1:18" ht="12.75">
      <c r="A30" s="4">
        <f>A31/2</f>
        <v>1.5181459903381223</v>
      </c>
      <c r="B30" s="3">
        <f>$B$23*A30^2/2</f>
        <v>2.8239745491440855</v>
      </c>
      <c r="C30" s="3">
        <f>$B$23*A30</f>
        <v>3.720293788761552</v>
      </c>
      <c r="D30" s="4">
        <f>$B$23</f>
        <v>2.4505507457375466</v>
      </c>
      <c r="E30" s="3">
        <f>rc_*B30</f>
        <v>0.8471923647432257</v>
      </c>
      <c r="F30" s="3">
        <f>rc_*SIN(alfa)+E30*COS(alfa)</f>
        <v>0.8799170163280269</v>
      </c>
      <c r="G30" s="3">
        <f>H+rc_*COS(alfa)-rc_*B30*SIN(alfa)</f>
        <v>3.61267889905072</v>
      </c>
      <c r="H30" s="3">
        <f>rc_*C30*COS(alfa)</f>
        <v>1.1058873272932004</v>
      </c>
      <c r="I30" s="3">
        <f>rc_*C30*SIN(alfa)</f>
        <v>0.15055214397378247</v>
      </c>
      <c r="J30" s="3">
        <f>SQRT(H30^2+I30^2)</f>
        <v>1.1160881366284656</v>
      </c>
      <c r="K30" s="6" t="s">
        <v>82</v>
      </c>
      <c r="L30" s="6" t="s">
        <v>82</v>
      </c>
      <c r="M30" s="6" t="s">
        <v>82</v>
      </c>
      <c r="N30" s="6" t="s">
        <v>82</v>
      </c>
      <c r="O30" s="6" t="s">
        <v>82</v>
      </c>
      <c r="P30" s="3">
        <f>1/2*IP*C30^2</f>
        <v>2.802718639626301</v>
      </c>
      <c r="Q30" s="3">
        <f>mt*g*G30</f>
        <v>88.60094999921891</v>
      </c>
      <c r="R30" s="3">
        <f>P30+Q30</f>
        <v>91.40366863884522</v>
      </c>
    </row>
    <row r="31" spans="1:19" ht="12.75">
      <c r="A31" s="4">
        <f>SQRT(2*D1_/(rc_*$B$23))</f>
        <v>3.0362919806762445</v>
      </c>
      <c r="B31" s="3">
        <f>$B$23*A31^2/2</f>
        <v>11.295898196576342</v>
      </c>
      <c r="C31" s="3">
        <f>$B$23*A31</f>
        <v>7.440587577523104</v>
      </c>
      <c r="D31" s="4">
        <f>$B$23</f>
        <v>2.4505507457375466</v>
      </c>
      <c r="E31" s="3">
        <f>rc_*B31</f>
        <v>3.3887694589729027</v>
      </c>
      <c r="F31" s="3">
        <f>rc_*SIN(alfa)+E31*COS(alfa)</f>
        <v>3.398264633871899</v>
      </c>
      <c r="G31" s="3">
        <f>H+rc_*COS(alfa)-rc_*B31*SIN(alfa)</f>
        <v>3.2698386984848113</v>
      </c>
      <c r="H31" s="3">
        <f>rc_*C31*COS(alfa)</f>
        <v>2.2117746545864008</v>
      </c>
      <c r="I31" s="3">
        <f>rc_*C31*SIN(alfa)</f>
        <v>0.30110428794756494</v>
      </c>
      <c r="J31" s="3">
        <f>SQRT(H31^2+I31^2)</f>
        <v>2.2321762732569312</v>
      </c>
      <c r="K31" s="6" t="s">
        <v>82</v>
      </c>
      <c r="L31" s="6" t="s">
        <v>82</v>
      </c>
      <c r="M31" s="6" t="s">
        <v>82</v>
      </c>
      <c r="N31" s="6" t="s">
        <v>82</v>
      </c>
      <c r="O31" s="6" t="s">
        <v>82</v>
      </c>
      <c r="P31" s="3">
        <f>1/2*IP*C31^2</f>
        <v>11.210874558505203</v>
      </c>
      <c r="Q31" s="3">
        <f>mt*g*G31</f>
        <v>80.19279408034001</v>
      </c>
      <c r="R31" s="3">
        <f>P31+Q31</f>
        <v>91.4036686388452</v>
      </c>
      <c r="S31" s="13" t="s">
        <v>92</v>
      </c>
    </row>
    <row r="32" ht="12.75">
      <c r="S32" s="13"/>
    </row>
    <row r="33" spans="1:19" ht="12.75">
      <c r="A33" s="4">
        <f>A31</f>
        <v>3.0362919806762445</v>
      </c>
      <c r="B33" s="4">
        <f>B31</f>
        <v>11.295898196576342</v>
      </c>
      <c r="C33" s="3">
        <f>SQRT($C$31^2+2*mt*g*(SIN($K$33)-SIN(K33))*(R_+rc_)/IP)</f>
        <v>7.440587577523104</v>
      </c>
      <c r="D33" s="3">
        <f>mt*g*COS(K33)*rc_/IP</f>
        <v>2.450550745737549</v>
      </c>
      <c r="F33" s="3">
        <f>$B$16+(R_+rc_)*COS(K33)</f>
        <v>3.3982646338718916</v>
      </c>
      <c r="G33" s="3">
        <f>(R_+rc_)*SIN(K33)</f>
        <v>3.269838698484812</v>
      </c>
      <c r="H33" s="3">
        <f>rc_*C33*SIN(K33)</f>
        <v>2.2117746545864008</v>
      </c>
      <c r="I33" s="3">
        <f>rc_*C33*COS(K33)</f>
        <v>0.3011042879475652</v>
      </c>
      <c r="J33" s="3">
        <f>SQRT(H33^2+I33^2)</f>
        <v>2.2321762732569312</v>
      </c>
      <c r="K33" s="4">
        <f>PI()/2-alfa</f>
        <v>1.4354911532571162</v>
      </c>
      <c r="L33" s="3">
        <f>K33*180/PI()</f>
        <v>82.24758460999999</v>
      </c>
      <c r="M33" s="3">
        <f>rc_/(R_+rc_)*C33</f>
        <v>0.6764170525021004</v>
      </c>
      <c r="N33" s="3">
        <f>mt*J33^2/(R_+rc_)</f>
        <v>3.7747052385539415</v>
      </c>
      <c r="O33" s="3">
        <f>mt*g*SIN(K33)</f>
        <v>24.30084669101213</v>
      </c>
      <c r="P33" s="3">
        <f>1/2*IP*C33^2</f>
        <v>11.210874558505203</v>
      </c>
      <c r="Q33" s="3">
        <f>mt*g*G33</f>
        <v>80.19279408034002</v>
      </c>
      <c r="R33" s="3">
        <f>P33+Q33</f>
        <v>91.40366863884523</v>
      </c>
      <c r="S33" s="13" t="s">
        <v>92</v>
      </c>
    </row>
    <row r="34" spans="1:18" ht="12.75">
      <c r="A34" s="4">
        <f>A33+0.08</f>
        <v>3.1162919806762446</v>
      </c>
      <c r="B34" s="3">
        <f>B33+C33*(A34-A33)</f>
        <v>11.89114520277819</v>
      </c>
      <c r="C34" s="3">
        <f>SQRT($C$31^2+2*mt*g*(SIN($K$33)-SIN(K34))*(R_+rc_)/IP)</f>
        <v>7.671894117564985</v>
      </c>
      <c r="D34" s="3">
        <f>mt*g*COS(K34)*rc_/IP</f>
        <v>3.4205628749898462</v>
      </c>
      <c r="F34" s="3">
        <f>$B$16+(R_+rc_)*COS(K34)</f>
        <v>3.5744686720296484</v>
      </c>
      <c r="G34" s="3">
        <f>(R_+rc_)*SIN(K34)</f>
        <v>3.240975815300377</v>
      </c>
      <c r="H34" s="3">
        <f>rc_*C34*SIN(K34)</f>
        <v>2.260402117506668</v>
      </c>
      <c r="I34" s="3">
        <f>rc_*C34*COS(K34)</f>
        <v>0.43335736843038886</v>
      </c>
      <c r="J34" s="3">
        <f>SQRT(H34^2+I34^2)</f>
        <v>2.3015682352694955</v>
      </c>
      <c r="K34" s="3">
        <f>K33-C33*rc_/(R_+rc_)*(A34-A33)</f>
        <v>1.381377789056948</v>
      </c>
      <c r="L34" s="3">
        <f>K34*180/PI()</f>
        <v>79.14711722607605</v>
      </c>
      <c r="M34" s="3">
        <f>rc_/(R_+rc_)*C34</f>
        <v>0.6974449197786351</v>
      </c>
      <c r="N34" s="3">
        <f>mt*J34^2/(R_+rc_)</f>
        <v>4.01304268303147</v>
      </c>
      <c r="O34" s="3">
        <f>mt*g*SIN(K34)</f>
        <v>24.086342990982352</v>
      </c>
      <c r="P34" s="3">
        <f>1/2*IP*C34^2</f>
        <v>11.918736768603464</v>
      </c>
      <c r="Q34" s="3">
        <f>mt*g*G34</f>
        <v>79.48493187024175</v>
      </c>
      <c r="R34" s="3">
        <f>P34+Q34</f>
        <v>91.40366863884522</v>
      </c>
    </row>
    <row r="35" spans="1:18" ht="12.75">
      <c r="A35" s="4">
        <f aca="true" t="shared" si="0" ref="A35:A46">A34+0.08</f>
        <v>3.1962919806762446</v>
      </c>
      <c r="B35" s="3">
        <f>B34+C34*(A35-A34)</f>
        <v>12.50489673218339</v>
      </c>
      <c r="C35" s="3">
        <f>SQRT($C$31^2+2*mt*g*(SIN($K$33)-SIN(K35))*(R_+rc_)/IP)</f>
        <v>7.979057443341241</v>
      </c>
      <c r="D35" s="3">
        <f>mt*g*COS(K35)*rc_/IP</f>
        <v>4.410213684223836</v>
      </c>
      <c r="F35" s="3">
        <f>$B$16+(R_+rc_)*COS(K35)</f>
        <v>3.754240103431786</v>
      </c>
      <c r="G35" s="3">
        <f>(R_+rc_)*SIN(K35)</f>
        <v>3.2012817006241394</v>
      </c>
      <c r="H35" s="3">
        <f>rc_*C35*SIN(K35)</f>
        <v>2.3221100528724676</v>
      </c>
      <c r="I35" s="3">
        <f>rc_*C35*COS(K35)</f>
        <v>0.5811085044302464</v>
      </c>
      <c r="J35" s="3">
        <f>SQRT(H35^2+I35^2)</f>
        <v>2.393717233002372</v>
      </c>
      <c r="K35" s="3">
        <f>K34-C34*rc_/(R_+rc_)*(A35-A34)</f>
        <v>1.3255821954746572</v>
      </c>
      <c r="L35" s="3">
        <f>K35*180/PI()</f>
        <v>75.95026519838355</v>
      </c>
      <c r="M35" s="3">
        <f>rc_/(R_+rc_)*C35</f>
        <v>0.7253688584855674</v>
      </c>
      <c r="N35" s="3">
        <f>mt*J35^2/(R_+rc_)</f>
        <v>4.340819842100403</v>
      </c>
      <c r="O35" s="3">
        <f>mt*g*SIN(K35)</f>
        <v>23.79134354782031</v>
      </c>
      <c r="P35" s="3">
        <f>1/2*IP*C35^2</f>
        <v>12.892234931038201</v>
      </c>
      <c r="Q35" s="3">
        <f>mt*g*G35</f>
        <v>78.51143370780703</v>
      </c>
      <c r="R35" s="3">
        <f>P35+Q35</f>
        <v>91.40366863884523</v>
      </c>
    </row>
    <row r="36" spans="1:18" ht="12.75">
      <c r="A36" s="4">
        <f t="shared" si="0"/>
        <v>3.2762919806762447</v>
      </c>
      <c r="B36" s="3">
        <f>B35+C35*(A36-A35)</f>
        <v>13.14322132765069</v>
      </c>
      <c r="C36" s="3">
        <f>SQRT($C$31^2+2*mt*g*(SIN($K$33)-SIN(K36))*(R_+rc_)/IP)</f>
        <v>8.363318965928736</v>
      </c>
      <c r="D36" s="3">
        <f>mt*g*COS(K36)*rc_/IP</f>
        <v>5.424883025795297</v>
      </c>
      <c r="F36" s="3">
        <f>$B$16+(R_+rc_)*COS(K36)</f>
        <v>3.9385561856621982</v>
      </c>
      <c r="G36" s="3">
        <f>(R_+rc_)*SIN(K36)</f>
        <v>3.1494305832154086</v>
      </c>
      <c r="H36" s="3">
        <f>rc_*C36*SIN(K36)</f>
        <v>2.3945175025892205</v>
      </c>
      <c r="I36" s="3">
        <f>rc_*C36*COS(K36)</f>
        <v>0.7492298052811156</v>
      </c>
      <c r="J36" s="3">
        <f>SQRT(H36^2+I36^2)</f>
        <v>2.5089956897786205</v>
      </c>
      <c r="K36" s="3">
        <f>K35-C35*rc_/(R_+rc_)*(A36-A35)</f>
        <v>1.2675526867958118</v>
      </c>
      <c r="L36" s="3">
        <f>K36*180/PI()</f>
        <v>72.62541926386793</v>
      </c>
      <c r="M36" s="3">
        <f>rc_/(R_+rc_)*C36</f>
        <v>0.7603017241753396</v>
      </c>
      <c r="N36" s="3">
        <f>mt*J36^2/(R_+rc_)</f>
        <v>4.768984372217952</v>
      </c>
      <c r="O36" s="3">
        <f>mt*g*SIN(K36)</f>
        <v>23.40599547071452</v>
      </c>
      <c r="P36" s="3">
        <f>1/2*IP*C36^2</f>
        <v>14.163883585487316</v>
      </c>
      <c r="Q36" s="3">
        <f>mt*g*G36</f>
        <v>77.2397850533579</v>
      </c>
      <c r="R36" s="3">
        <f>P36+Q36</f>
        <v>91.40366863884522</v>
      </c>
    </row>
    <row r="37" spans="1:18" ht="12.75">
      <c r="A37" s="4">
        <f t="shared" si="0"/>
        <v>3.356291980676245</v>
      </c>
      <c r="B37" s="3">
        <f>B36+C36*(A37-A36)</f>
        <v>13.812286844924989</v>
      </c>
      <c r="C37" s="3">
        <f>SQRT($C$31^2+2*mt*g*(SIN($K$33)-SIN(K37))*(R_+rc_)/IP)</f>
        <v>8.826391239027485</v>
      </c>
      <c r="D37" s="3">
        <f>mt*g*COS(K37)*rc_/IP</f>
        <v>6.468756305051684</v>
      </c>
      <c r="F37" s="3">
        <f>$B$16+(R_+rc_)*COS(K37)</f>
        <v>4.128177203361982</v>
      </c>
      <c r="G37" s="3">
        <f>(R_+rc_)*SIN(K37)</f>
        <v>3.0837051670625093</v>
      </c>
      <c r="H37" s="3">
        <f>rc_*C37*SIN(K37)</f>
        <v>2.4743625700276652</v>
      </c>
      <c r="I37" s="3">
        <f>rc_*C37*COS(K37)</f>
        <v>0.9428659923023998</v>
      </c>
      <c r="J37" s="3">
        <f>SQRT(H37^2+I37^2)</f>
        <v>2.647917371708245</v>
      </c>
      <c r="K37" s="3">
        <f>K36-C36*rc_/(R_+rc_)*(A37-A36)</f>
        <v>1.2067285488617845</v>
      </c>
      <c r="L37" s="3">
        <f>K37*180/PI()</f>
        <v>69.1404528677266</v>
      </c>
      <c r="M37" s="3">
        <f>rc_/(R_+rc_)*C37</f>
        <v>0.8023992035479532</v>
      </c>
      <c r="N37" s="3">
        <f>mt*J37^2/(R_+rc_)</f>
        <v>5.311716975298713</v>
      </c>
      <c r="O37" s="3">
        <f>mt*g*SIN(K37)</f>
        <v>22.917536127941833</v>
      </c>
      <c r="P37" s="3">
        <f>1/2*IP*C37^2</f>
        <v>15.77579941663718</v>
      </c>
      <c r="Q37" s="3">
        <f>mt*g*G37</f>
        <v>75.62786922220805</v>
      </c>
      <c r="R37" s="3">
        <f>P37+Q37</f>
        <v>91.40366863884523</v>
      </c>
    </row>
    <row r="38" spans="1:18" ht="12.75">
      <c r="A38" s="4">
        <f t="shared" si="0"/>
        <v>3.436291980676245</v>
      </c>
      <c r="B38" s="3">
        <f>B37+C37*(A38-A37)</f>
        <v>14.518398144047188</v>
      </c>
      <c r="C38" s="3">
        <f>SQRT($C$31^2+2*mt*g*(SIN($K$33)-SIN(K38))*(R_+rc_)/IP)</f>
        <v>9.370348579282673</v>
      </c>
      <c r="D38" s="3">
        <f>mt*g*COS(K38)*rc_/IP</f>
        <v>7.544404330852883</v>
      </c>
      <c r="F38" s="3">
        <f>$B$16+(R_+rc_)*COS(K38)</f>
        <v>4.323570147498347</v>
      </c>
      <c r="G38" s="3">
        <f>(R_+rc_)*SIN(K38)</f>
        <v>3.001976495745121</v>
      </c>
      <c r="H38" s="3">
        <f>rc_*C38*SIN(K38)</f>
        <v>2.557233290176843</v>
      </c>
      <c r="I38" s="3">
        <f>rc_*C38*COS(K38)</f>
        <v>1.167418872712426</v>
      </c>
      <c r="J38" s="3">
        <f>SQRT(H38^2+I38^2)</f>
        <v>2.811104573784802</v>
      </c>
      <c r="K38" s="3">
        <f>K37-C37*rc_/(R_+rc_)*(A38-A37)</f>
        <v>1.1425366125779481</v>
      </c>
      <c r="L38" s="3">
        <f>K38*180/PI()</f>
        <v>65.46252583989008</v>
      </c>
      <c r="M38" s="3">
        <f>rc_/(R_+rc_)*C38</f>
        <v>0.8518498708438794</v>
      </c>
      <c r="N38" s="3">
        <f>mt*J38^2/(R_+rc_)</f>
        <v>5.986597670268056</v>
      </c>
      <c r="O38" s="3">
        <f>mt*g*SIN(K38)</f>
        <v>22.310143502469426</v>
      </c>
      <c r="P38" s="3">
        <f>1/2*IP*C38^2</f>
        <v>17.78019508069612</v>
      </c>
      <c r="Q38" s="3">
        <f>mt*g*G38</f>
        <v>73.6234735581491</v>
      </c>
      <c r="R38" s="3">
        <f>P38+Q38</f>
        <v>91.40366863884522</v>
      </c>
    </row>
    <row r="39" spans="1:18" ht="12.75">
      <c r="A39" s="4">
        <f t="shared" si="0"/>
        <v>3.516291980676245</v>
      </c>
      <c r="B39" s="3">
        <f>B38+C38*(A39-A38)</f>
        <v>15.268026030389802</v>
      </c>
      <c r="C39" s="3">
        <f>SQRT($C$31^2+2*mt*g*(SIN($K$33)-SIN(K39))*(R_+rc_)/IP)</f>
        <v>9.997479053729066</v>
      </c>
      <c r="D39" s="3">
        <f>mt*g*COS(K39)*rc_/IP</f>
        <v>8.652236799420091</v>
      </c>
      <c r="F39" s="3">
        <f>$B$16+(R_+rc_)*COS(K39)</f>
        <v>4.524809439953675</v>
      </c>
      <c r="G39" s="3">
        <f>(R_+rc_)*SIN(K39)</f>
        <v>2.901687143091562</v>
      </c>
      <c r="H39" s="3">
        <f>rc_*C39*SIN(K39)</f>
        <v>2.637232403048439</v>
      </c>
      <c r="I39" s="3">
        <f>rc_*C39*COS(K39)</f>
        <v>1.428449551432946</v>
      </c>
      <c r="J39" s="3">
        <f>SQRT(H39^2+I39^2)</f>
        <v>2.99924371611872</v>
      </c>
      <c r="K39" s="3">
        <f>K38-C38*rc_/(R_+rc_)*(A39-A38)</f>
        <v>1.0743886229104378</v>
      </c>
      <c r="L39" s="3">
        <f>K39*180/PI()</f>
        <v>61.55793364964059</v>
      </c>
      <c r="M39" s="3">
        <f>rc_/(R_+rc_)*C39</f>
        <v>0.9088617321571878</v>
      </c>
      <c r="N39" s="3">
        <f>mt*J39^2/(R_+rc_)</f>
        <v>6.814744597483054</v>
      </c>
      <c r="O39" s="3">
        <f>mt*g*SIN(K39)</f>
        <v>21.56481126797593</v>
      </c>
      <c r="P39" s="3">
        <f>1/2*IP*C39^2</f>
        <v>20.23979145452466</v>
      </c>
      <c r="Q39" s="3">
        <f>mt*g*G39</f>
        <v>71.16387718432057</v>
      </c>
      <c r="R39" s="3">
        <f>P39+Q39</f>
        <v>91.40366863884523</v>
      </c>
    </row>
    <row r="40" spans="1:18" ht="12.75">
      <c r="A40" s="4">
        <f t="shared" si="0"/>
        <v>3.596291980676245</v>
      </c>
      <c r="B40" s="3">
        <f>B39+C39*(A40-A39)</f>
        <v>16.067824354688128</v>
      </c>
      <c r="C40" s="3">
        <f>SQRT($C$31^2+2*mt*g*(SIN($K$33)-SIN(K40))*(R_+rc_)/IP)</f>
        <v>10.710088702033348</v>
      </c>
      <c r="D40" s="3">
        <f>mt*g*COS(K40)*rc_/IP</f>
        <v>9.789801186580902</v>
      </c>
      <c r="F40" s="3">
        <f>$B$16+(R_+rc_)*COS(K40)</f>
        <v>4.731449576337015</v>
      </c>
      <c r="G40" s="3">
        <f>(R_+rc_)*SIN(K40)</f>
        <v>2.7798452043933612</v>
      </c>
      <c r="H40" s="3">
        <f>rc_*C40*SIN(K40)</f>
        <v>2.706580792452266</v>
      </c>
      <c r="I40" s="3">
        <f>rc_*C40*COS(K40)</f>
        <v>1.7314619298201377</v>
      </c>
      <c r="J40" s="3">
        <f>SQRT(H40^2+I40^2)</f>
        <v>3.2130266106100036</v>
      </c>
      <c r="K40" s="3">
        <f>K39-C39*rc_/(R_+rc_)*(A40-A39)</f>
        <v>1.0016796843378626</v>
      </c>
      <c r="L40" s="3">
        <f>K40*180/PI()</f>
        <v>57.39201833655607</v>
      </c>
      <c r="M40" s="3">
        <f>rc_/(R_+rc_)*C40</f>
        <v>0.9736444274575771</v>
      </c>
      <c r="N40" s="3">
        <f>mt*J40^2/(R_+rc_)</f>
        <v>7.82086363673334</v>
      </c>
      <c r="O40" s="3">
        <f>mt*g*SIN(K40)</f>
        <v>20.659304132650668</v>
      </c>
      <c r="P40" s="3">
        <f>1/2*IP*C40^2</f>
        <v>23.227965001098024</v>
      </c>
      <c r="Q40" s="3">
        <f>mt*g*G40</f>
        <v>68.17570363774719</v>
      </c>
      <c r="R40" s="3">
        <f>P40+Q40</f>
        <v>91.40366863884522</v>
      </c>
    </row>
    <row r="41" spans="1:18" ht="12.75">
      <c r="A41" s="4">
        <f t="shared" si="0"/>
        <v>3.676291980676245</v>
      </c>
      <c r="B41" s="3">
        <f>B40+C40*(A41-A40)</f>
        <v>16.924631450850796</v>
      </c>
      <c r="C41" s="3">
        <f>SQRT($C$31^2+2*mt*g*(SIN($K$33)-SIN(K41))*(R_+rc_)/IP)</f>
        <v>11.51024640667808</v>
      </c>
      <c r="D41" s="3">
        <f>mt*g*COS(K41)*rc_/IP</f>
        <v>10.950902539311947</v>
      </c>
      <c r="F41" s="3">
        <f>$B$16+(R_+rc_)*COS(K41)</f>
        <v>4.942365234906507</v>
      </c>
      <c r="G41" s="3">
        <f>(R_+rc_)*SIN(K41)</f>
        <v>2.6330397447298663</v>
      </c>
      <c r="H41" s="3">
        <f>rc_*C41*SIN(K41)</f>
        <v>2.7551760236743195</v>
      </c>
      <c r="I41" s="3">
        <f>rc_*C41*COS(K41)</f>
        <v>2.081519778765091</v>
      </c>
      <c r="J41" s="3">
        <f>SQRT(H41^2+I41^2)</f>
        <v>3.453073922003424</v>
      </c>
      <c r="K41" s="3">
        <f>K40-C40*rc_/(R_+rc_)*(A41-A40)</f>
        <v>0.9237881301412564</v>
      </c>
      <c r="L41" s="3">
        <f>K41*180/PI()</f>
        <v>52.92916102137602</v>
      </c>
      <c r="M41" s="3">
        <f>rc_/(R_+rc_)*C41</f>
        <v>1.0463860369707345</v>
      </c>
      <c r="N41" s="3">
        <f>mt*J41^2/(R_+rc_)</f>
        <v>9.033120841530387</v>
      </c>
      <c r="O41" s="3">
        <f>mt*g*SIN(K41)</f>
        <v>19.568272648333327</v>
      </c>
      <c r="P41" s="3">
        <f>1/2*IP*C41^2</f>
        <v>26.82836889934524</v>
      </c>
      <c r="Q41" s="3">
        <f>mt*g*G41</f>
        <v>64.57529973949998</v>
      </c>
      <c r="R41" s="3">
        <f>P41+Q41</f>
        <v>91.40366863884522</v>
      </c>
    </row>
    <row r="42" spans="1:18" ht="12.75">
      <c r="A42" s="4">
        <f t="shared" si="0"/>
        <v>3.756291980676245</v>
      </c>
      <c r="B42" s="3">
        <f>B41+C41*(A42-A41)</f>
        <v>17.845451163385043</v>
      </c>
      <c r="C42" s="3">
        <f>SQRT($C$31^2+2*mt*g*(SIN($K$33)-SIN(K42))*(R_+rc_)/IP)</f>
        <v>12.39945571533252</v>
      </c>
      <c r="D42" s="3">
        <f>mt*g*COS(K42)*rc_/IP</f>
        <v>12.12452965783496</v>
      </c>
      <c r="F42" s="3">
        <f>$B$16+(R_+rc_)*COS(K42)</f>
        <v>5.155556216069403</v>
      </c>
      <c r="G42" s="3">
        <f>(R_+rc_)*SIN(K42)</f>
        <v>2.4574924353294816</v>
      </c>
      <c r="H42" s="3">
        <f>rc_*C42*SIN(K42)</f>
        <v>2.770142602057507</v>
      </c>
      <c r="I42" s="3">
        <f>rc_*C42*COS(K42)</f>
        <v>2.482638746888152</v>
      </c>
      <c r="J42" s="3">
        <f>SQRT(H42^2+I42^2)</f>
        <v>3.719836714599756</v>
      </c>
      <c r="K42" s="3">
        <f>K41-C41*rc_/(R_+rc_)*(A42-A41)</f>
        <v>0.8400772471835976</v>
      </c>
      <c r="L42" s="3">
        <f>K42*180/PI()</f>
        <v>48.13288072858856</v>
      </c>
      <c r="M42" s="3">
        <f>rc_/(R_+rc_)*C42</f>
        <v>1.127223246848411</v>
      </c>
      <c r="N42" s="3">
        <f>mt*J42^2/(R_+rc_)</f>
        <v>10.482716047942658</v>
      </c>
      <c r="O42" s="3">
        <f>mt*g*SIN(K42)</f>
        <v>18.263636962562288</v>
      </c>
      <c r="P42" s="3">
        <f>1/2*IP*C42^2</f>
        <v>31.13366666238969</v>
      </c>
      <c r="Q42" s="3">
        <f>mt*g*G42</f>
        <v>60.27000197645554</v>
      </c>
      <c r="R42" s="3">
        <f>P42+Q42</f>
        <v>91.40366863884523</v>
      </c>
    </row>
    <row r="43" spans="1:18" ht="12.75">
      <c r="A43" s="4">
        <f t="shared" si="0"/>
        <v>3.836291980676245</v>
      </c>
      <c r="B43" s="3">
        <f>B42+C42*(A43-A42)</f>
        <v>18.837407620611646</v>
      </c>
      <c r="C43" s="3">
        <f>SQRT($C$31^2+2*mt*g*(SIN($K$33)-SIN(K43))*(R_+rc_)/IP)</f>
        <v>13.378238823335819</v>
      </c>
      <c r="D43" s="3">
        <f>mt*g*COS(K43)*rc_/IP</f>
        <v>13.293593613121763</v>
      </c>
      <c r="F43" s="3">
        <f>$B$16+(R_+rc_)*COS(K43)</f>
        <v>5.367918292350859</v>
      </c>
      <c r="G43" s="3">
        <f>(R_+rc_)*SIN(K43)</f>
        <v>2.2491649602841077</v>
      </c>
      <c r="H43" s="3">
        <f>rc_*C43*SIN(K43)</f>
        <v>2.7354423628872198</v>
      </c>
      <c r="I43" s="3">
        <f>rc_*C43*COS(K43)</f>
        <v>2.9368877643861127</v>
      </c>
      <c r="J43" s="3">
        <f>SQRT(H43^2+I43^2)</f>
        <v>4.013471647000745</v>
      </c>
      <c r="K43" s="3">
        <f>K42-C42*rc_/(R_+rc_)*(A43-A42)</f>
        <v>0.7498993874357246</v>
      </c>
      <c r="L43" s="3">
        <f>K43*180/PI()</f>
        <v>42.96606995951277</v>
      </c>
      <c r="M43" s="3">
        <f>rc_/(R_+rc_)*C43</f>
        <v>1.2162035293941653</v>
      </c>
      <c r="N43" s="3">
        <f>mt*J43^2/(R_+rc_)</f>
        <v>12.2029959555143</v>
      </c>
      <c r="O43" s="3">
        <f>mt*g*SIN(K43)</f>
        <v>16.715385045747805</v>
      </c>
      <c r="P43" s="3">
        <f>1/2*IP*C43^2</f>
        <v>36.24289798787747</v>
      </c>
      <c r="Q43" s="3">
        <f>mt*g*G43</f>
        <v>55.16077065096775</v>
      </c>
      <c r="R43" s="3">
        <f>P43+Q43</f>
        <v>91.40366863884522</v>
      </c>
    </row>
    <row r="44" spans="1:18" ht="12.75">
      <c r="A44" s="4">
        <f>A43+0.03</f>
        <v>3.866291980676245</v>
      </c>
      <c r="B44" s="3">
        <f>B43+C43*(A44-A43)</f>
        <v>19.23875478531172</v>
      </c>
      <c r="C44" s="3">
        <f>SQRT($C$31^2+2*mt*g*(SIN($K$33)-SIN(K44))*(R_+rc_)/IP)</f>
        <v>13.777768045405244</v>
      </c>
      <c r="D44" s="3">
        <f>mt*g*COS(K44)*rc_/IP</f>
        <v>13.736408363793508</v>
      </c>
      <c r="F44" s="3">
        <f>$B$16+(R_+rc_)*COS(K44)</f>
        <v>5.448356201188479</v>
      </c>
      <c r="G44" s="3">
        <f>(R_+rc_)*SIN(K44)</f>
        <v>2.159580955982254</v>
      </c>
      <c r="H44" s="3">
        <f>rc_*C44*SIN(K44)</f>
        <v>2.7049277715270916</v>
      </c>
      <c r="I44" s="3">
        <f>rc_*C44*COS(K44)</f>
        <v>3.1253457503115665</v>
      </c>
      <c r="J44" s="3">
        <f>SQRT(H44^2+I44^2)</f>
        <v>4.133330413621573</v>
      </c>
      <c r="K44" s="3">
        <f>K43-C43*rc_/(R_+rc_)*(A44-A43)</f>
        <v>0.7134132815538998</v>
      </c>
      <c r="L44" s="3">
        <f>K44*180/PI()</f>
        <v>40.875570081616765</v>
      </c>
      <c r="M44" s="3">
        <f>rc_/(R_+rc_)*C44</f>
        <v>1.2525243677641131</v>
      </c>
      <c r="N44" s="3">
        <f>mt*J44^2/(R_+rc_)</f>
        <v>12.942742657703855</v>
      </c>
      <c r="O44" s="3">
        <f>mt*g*SIN(K44)</f>
        <v>16.049613013777208</v>
      </c>
      <c r="P44" s="3">
        <f>1/2*IP*C44^2</f>
        <v>38.43994569338044</v>
      </c>
      <c r="Q44" s="3">
        <f>mt*g*G44</f>
        <v>52.96372294546478</v>
      </c>
      <c r="R44" s="3">
        <f>P44+Q44</f>
        <v>91.40366863884522</v>
      </c>
    </row>
    <row r="45" spans="1:18" ht="12.75">
      <c r="A45" s="4">
        <f>A44+0.03</f>
        <v>3.896291980676245</v>
      </c>
      <c r="B45" s="3">
        <f>B44+C44*(A45-A44)</f>
        <v>19.652087826673874</v>
      </c>
      <c r="C45" s="3">
        <f>SQRT($C$31^2+2*mt*g*(SIN($K$33)-SIN(K45))*(R_+rc_)/IP)</f>
        <v>14.190287764008813</v>
      </c>
      <c r="D45" s="3">
        <f>mt*g*COS(K45)*rc_/IP</f>
        <v>14.173329846287789</v>
      </c>
      <c r="F45" s="3">
        <f>$B$16+(R_+rc_)*COS(K45)</f>
        <v>5.527723589751659</v>
      </c>
      <c r="G45" s="3">
        <f>(R_+rc_)*SIN(K45)</f>
        <v>2.0643182306506067</v>
      </c>
      <c r="H45" s="3">
        <f>rc_*C45*SIN(K45)</f>
        <v>2.6630245208565113</v>
      </c>
      <c r="I45" s="3">
        <f>rc_*C45*COS(K45)</f>
        <v>3.3213076363988008</v>
      </c>
      <c r="J45" s="3">
        <f>SQRT(H45^2+I45^2)</f>
        <v>4.257086329202644</v>
      </c>
      <c r="K45" s="3">
        <f>K44-C44*rc_/(R_+rc_)*(A45-A44)</f>
        <v>0.6758375505209767</v>
      </c>
      <c r="L45" s="3">
        <f>K45*180/PI()</f>
        <v>38.722639281311515</v>
      </c>
      <c r="M45" s="3">
        <f>rc_/(R_+rc_)*C45</f>
        <v>1.2900261603644376</v>
      </c>
      <c r="N45" s="3">
        <f>mt*J45^2/(R_+rc_)</f>
        <v>13.729381829003064</v>
      </c>
      <c r="O45" s="3">
        <f>mt*g*SIN(K45)</f>
        <v>15.341637759607918</v>
      </c>
      <c r="P45" s="3">
        <f>1/2*IP*C45^2</f>
        <v>40.776264032139096</v>
      </c>
      <c r="Q45" s="3">
        <f>mt*g*G45</f>
        <v>50.627404606706136</v>
      </c>
      <c r="R45" s="3">
        <f>P45+Q45</f>
        <v>91.40366863884523</v>
      </c>
    </row>
    <row r="46" spans="1:19" ht="12.75">
      <c r="A46" s="4">
        <f>A45+0.03047</f>
        <v>3.926761980676245</v>
      </c>
      <c r="B46" s="3">
        <f>B45+C45*(A46-A45)</f>
        <v>20.084465894843227</v>
      </c>
      <c r="C46" s="3">
        <f>SQRT($C$31^2+2*mt*g*(SIN($K$33)-SIN(K46))*(R_+rc_)/IP)</f>
        <v>14.622267272169374</v>
      </c>
      <c r="D46" s="3">
        <f>mt*g*COS(K46)*rc_/IP</f>
        <v>14.60895977548053</v>
      </c>
      <c r="F46" s="3">
        <f>$B$16+(R_+rc_)*COS(K46)</f>
        <v>5.606856365880249</v>
      </c>
      <c r="G46" s="3">
        <f>(R_+rc_)*SIN(K46)</f>
        <v>1.961549514888775</v>
      </c>
      <c r="H46" s="3">
        <f>rc_*C46*SIN(K46)</f>
        <v>2.607481934027077</v>
      </c>
      <c r="I46" s="3">
        <f>rc_*C46*COS(K46)</f>
        <v>3.527605558989045</v>
      </c>
      <c r="J46" s="3">
        <f>SQRT(H46^2+I46^2)</f>
        <v>4.386680181650812</v>
      </c>
      <c r="K46" s="3">
        <f>K45-C45*rc_/(R_+rc_)*(A46-A45)</f>
        <v>0.6365304534146721</v>
      </c>
      <c r="L46" s="3">
        <f>K46*180/PI()</f>
        <v>36.47050851220937</v>
      </c>
      <c r="M46" s="3">
        <f>rc_/(R_+rc_)*C46</f>
        <v>1.3292970247426703</v>
      </c>
      <c r="N46" s="3">
        <f>mt*J46^2/(R_+rc_)</f>
        <v>14.57800228491515</v>
      </c>
      <c r="O46" s="3">
        <f>mt*g*SIN(K46)</f>
        <v>14.577879349287034</v>
      </c>
      <c r="P46" s="3">
        <f>1/2*IP*C46^2</f>
        <v>43.296666786198</v>
      </c>
      <c r="Q46" s="3">
        <f>mt*g*G46</f>
        <v>48.10700185264721</v>
      </c>
      <c r="R46" s="3">
        <f>P46+Q46</f>
        <v>91.4036686388452</v>
      </c>
      <c r="S46" s="13" t="s">
        <v>93</v>
      </c>
    </row>
    <row r="47" spans="1:18" ht="12.75">
      <c r="A47" s="4"/>
      <c r="B47" s="3"/>
      <c r="C47" s="3"/>
      <c r="D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9" ht="12.75">
      <c r="A48" s="4">
        <f>A46</f>
        <v>3.926761980676245</v>
      </c>
      <c r="B48" s="4">
        <f>B46</f>
        <v>20.084465894843227</v>
      </c>
      <c r="C48" s="4">
        <f>C46</f>
        <v>14.622267272169374</v>
      </c>
      <c r="D48" s="4">
        <f>D417</f>
        <v>0</v>
      </c>
      <c r="F48" s="3">
        <f>$F$46+H48*(A48-$A$48)</f>
        <v>5.606856365880249</v>
      </c>
      <c r="G48" s="3">
        <f>$G$46-$I$48*(A48-$A$48)-1/2*g*(A48-$A$48)^2</f>
        <v>1.961549514888775</v>
      </c>
      <c r="H48" s="3">
        <f>$H$46</f>
        <v>2.607481934027077</v>
      </c>
      <c r="I48" s="3">
        <f>$I$46+g*(A48-$A$48)</f>
        <v>3.527605558989045</v>
      </c>
      <c r="J48" s="3">
        <f>SQRT(H48^2+I48^2)</f>
        <v>4.386680181650812</v>
      </c>
      <c r="K48" s="6" t="s">
        <v>82</v>
      </c>
      <c r="L48" s="6" t="s">
        <v>82</v>
      </c>
      <c r="M48" s="6" t="s">
        <v>82</v>
      </c>
      <c r="N48" s="6" t="s">
        <v>82</v>
      </c>
      <c r="O48" s="6" t="s">
        <v>82</v>
      </c>
      <c r="P48" s="3">
        <f>1/2*IC*C48^2+1/2*mt*J48^2</f>
        <v>43.296666786198</v>
      </c>
      <c r="Q48" s="3">
        <f>mt*g*G48</f>
        <v>48.10700185264721</v>
      </c>
      <c r="R48" s="3">
        <f>P48+Q48</f>
        <v>91.4036686388452</v>
      </c>
      <c r="S48" s="13" t="s">
        <v>93</v>
      </c>
    </row>
    <row r="49" spans="1:18" ht="12.75">
      <c r="A49" s="4">
        <f>A48+0.05</f>
        <v>3.976761980676245</v>
      </c>
      <c r="B49" s="3">
        <f>B48+C48*(A49-A48)</f>
        <v>20.81557925845169</v>
      </c>
      <c r="C49" s="3">
        <f>C48</f>
        <v>14.622267272169374</v>
      </c>
      <c r="D49" s="3">
        <f>D48</f>
        <v>0</v>
      </c>
      <c r="F49" s="3">
        <f>$F$46+H49*(A49-$A$48)</f>
        <v>5.737230462581603</v>
      </c>
      <c r="G49" s="3">
        <f>$G$46-$I$48*(A49-$A$48)-1/2*g*(A49-$A$48)^2</f>
        <v>1.7729067369393234</v>
      </c>
      <c r="H49" s="3">
        <f>$H$46</f>
        <v>2.607481934027077</v>
      </c>
      <c r="I49" s="3">
        <f>$I$46+g*(A49-$A$48)</f>
        <v>4.018105558989044</v>
      </c>
      <c r="J49" s="3">
        <f>SQRT(H49^2+I49^2)</f>
        <v>4.790003582405366</v>
      </c>
      <c r="K49" s="6" t="s">
        <v>82</v>
      </c>
      <c r="L49" s="6" t="s">
        <v>82</v>
      </c>
      <c r="M49" s="6" t="s">
        <v>82</v>
      </c>
      <c r="N49" s="6" t="s">
        <v>82</v>
      </c>
      <c r="O49" s="6" t="s">
        <v>82</v>
      </c>
      <c r="P49" s="3">
        <f>1/2*IC*C49^2+1/2*mt*J49^2</f>
        <v>47.92313091540831</v>
      </c>
      <c r="Q49" s="3">
        <f>mt*g*G49</f>
        <v>43.48053772343691</v>
      </c>
      <c r="R49" s="3">
        <f>P49+Q49</f>
        <v>91.40366863884522</v>
      </c>
    </row>
    <row r="50" spans="1:18" ht="12.75">
      <c r="A50" s="4">
        <f>A49+0.05</f>
        <v>4.026761980676245</v>
      </c>
      <c r="B50" s="3">
        <f>B49+C49*(A50-A49)</f>
        <v>21.546692622060156</v>
      </c>
      <c r="C50" s="3">
        <f>C49</f>
        <v>14.622267272169374</v>
      </c>
      <c r="D50" s="3">
        <f>D49</f>
        <v>0</v>
      </c>
      <c r="F50" s="3">
        <f>$F$46+H50*(A50-$A$48)</f>
        <v>5.867604559282956</v>
      </c>
      <c r="G50" s="3">
        <f>$G$46-$I$48*(A50-$A$48)-1/2*g*(A50-$A$48)^2</f>
        <v>1.559738958989872</v>
      </c>
      <c r="H50" s="3">
        <f>$H$46</f>
        <v>2.607481934027077</v>
      </c>
      <c r="I50" s="3">
        <f>$I$46+g*(A50-$A$48)</f>
        <v>4.508605558989042</v>
      </c>
      <c r="J50" s="3">
        <f>SQRT(H50^2+I50^2)</f>
        <v>5.208309334402525</v>
      </c>
      <c r="K50" s="6" t="s">
        <v>82</v>
      </c>
      <c r="L50" s="6" t="s">
        <v>82</v>
      </c>
      <c r="M50" s="6" t="s">
        <v>82</v>
      </c>
      <c r="N50" s="6" t="s">
        <v>82</v>
      </c>
      <c r="O50" s="6" t="s">
        <v>82</v>
      </c>
      <c r="P50" s="3">
        <f>1/2*IC*C50^2+1/2*mt*J50^2</f>
        <v>53.15107066961859</v>
      </c>
      <c r="Q50" s="3">
        <f>mt*g*G50</f>
        <v>38.25259796922661</v>
      </c>
      <c r="R50" s="3">
        <f>P50+Q50</f>
        <v>91.4036686388452</v>
      </c>
    </row>
    <row r="51" spans="1:18" ht="12.75">
      <c r="A51" s="4">
        <f>A50+0.05</f>
        <v>4.0767619806762445</v>
      </c>
      <c r="B51" s="3">
        <f>B50+C50*(A51-A50)</f>
        <v>22.27780598566862</v>
      </c>
      <c r="C51" s="3">
        <f>C50</f>
        <v>14.622267272169374</v>
      </c>
      <c r="D51" s="3">
        <f>D50</f>
        <v>0</v>
      </c>
      <c r="F51" s="3">
        <f>$F$46+H51*(A51-$A$48)</f>
        <v>5.997978655984309</v>
      </c>
      <c r="G51" s="3">
        <f>$G$46-$I$48*(A51-$A$48)-1/2*g*(A51-$A$48)^2</f>
        <v>1.322046181040421</v>
      </c>
      <c r="H51" s="3">
        <f>$H$46</f>
        <v>2.607481934027077</v>
      </c>
      <c r="I51" s="3">
        <f>$I$46+g*(A51-$A$48)</f>
        <v>4.99910555898904</v>
      </c>
      <c r="J51" s="3">
        <f>SQRT(H51^2+I51^2)</f>
        <v>5.63826377763516</v>
      </c>
      <c r="K51" s="6" t="s">
        <v>82</v>
      </c>
      <c r="L51" s="6" t="s">
        <v>82</v>
      </c>
      <c r="M51" s="6" t="s">
        <v>82</v>
      </c>
      <c r="N51" s="6" t="s">
        <v>82</v>
      </c>
      <c r="O51" s="6" t="s">
        <v>82</v>
      </c>
      <c r="P51" s="3">
        <f>1/2*IC*C51^2+1/2*mt*J51^2</f>
        <v>58.98048604882888</v>
      </c>
      <c r="Q51" s="3">
        <f>mt*g*G51</f>
        <v>32.423182590016324</v>
      </c>
      <c r="R51" s="3">
        <f>P51+Q51</f>
        <v>91.4036686388452</v>
      </c>
    </row>
    <row r="52" spans="1:18" ht="12.75">
      <c r="A52" s="4">
        <f>A51+0.05</f>
        <v>4.126761980676244</v>
      </c>
      <c r="B52" s="3">
        <f>B51+C51*(A52-A51)</f>
        <v>23.008919349277086</v>
      </c>
      <c r="C52" s="3">
        <f>C51</f>
        <v>14.622267272169374</v>
      </c>
      <c r="D52" s="3">
        <f>D51</f>
        <v>0</v>
      </c>
      <c r="F52" s="3">
        <f>$F$46+H52*(A52-$A$48)</f>
        <v>6.128352752685663</v>
      </c>
      <c r="G52" s="3">
        <f>$G$46-$I$48*(A52-$A$48)-1/2*g*(A52-$A$48)^2</f>
        <v>1.0598284030909697</v>
      </c>
      <c r="H52" s="3">
        <f>$H$46</f>
        <v>2.607481934027077</v>
      </c>
      <c r="I52" s="3">
        <f>$I$46+g*(A52-$A$48)</f>
        <v>5.489605558989038</v>
      </c>
      <c r="J52" s="3">
        <f>SQRT(H52^2+I52^2)</f>
        <v>6.077395102308302</v>
      </c>
      <c r="K52" s="6" t="s">
        <v>82</v>
      </c>
      <c r="L52" s="6" t="s">
        <v>82</v>
      </c>
      <c r="M52" s="6" t="s">
        <v>82</v>
      </c>
      <c r="N52" s="6" t="s">
        <v>82</v>
      </c>
      <c r="O52" s="6" t="s">
        <v>82</v>
      </c>
      <c r="P52" s="3">
        <f>1/2*IC*C52^2+1/2*mt*J52^2</f>
        <v>65.41137705303917</v>
      </c>
      <c r="Q52" s="3">
        <f>mt*g*G52</f>
        <v>25.992291585806033</v>
      </c>
      <c r="R52" s="3">
        <f>P52+Q52</f>
        <v>91.4036686388452</v>
      </c>
    </row>
    <row r="53" spans="1:18" ht="12.75">
      <c r="A53" s="4">
        <f>A52+0.05</f>
        <v>4.176761980676244</v>
      </c>
      <c r="B53" s="3">
        <f>B52+C52*(A53-A52)</f>
        <v>23.74003271288555</v>
      </c>
      <c r="C53" s="3">
        <f>C52</f>
        <v>14.622267272169374</v>
      </c>
      <c r="D53" s="3">
        <f>D52</f>
        <v>0</v>
      </c>
      <c r="F53" s="3">
        <f>$F$46+H53*(A53-$A$48)</f>
        <v>6.258726849387016</v>
      </c>
      <c r="G53" s="3">
        <f>$G$46-$I$48*(A53-$A$48)-1/2*g*(A53-$A$48)^2</f>
        <v>0.773085625141519</v>
      </c>
      <c r="H53" s="3">
        <f>$H$46</f>
        <v>2.607481934027077</v>
      </c>
      <c r="I53" s="3">
        <f>$I$46+g*(A53-$A$48)</f>
        <v>5.980105558989036</v>
      </c>
      <c r="J53" s="3">
        <f>SQRT(H53^2+I53^2)</f>
        <v>6.523850437657899</v>
      </c>
      <c r="K53" s="6" t="s">
        <v>82</v>
      </c>
      <c r="L53" s="6" t="s">
        <v>82</v>
      </c>
      <c r="M53" s="6" t="s">
        <v>82</v>
      </c>
      <c r="N53" s="6" t="s">
        <v>82</v>
      </c>
      <c r="O53" s="6" t="s">
        <v>82</v>
      </c>
      <c r="P53" s="3">
        <f>1/2*IC*C53^2+1/2*mt*J53^2</f>
        <v>72.44374368224945</v>
      </c>
      <c r="Q53" s="3">
        <f>mt*g*G53</f>
        <v>18.959924956595756</v>
      </c>
      <c r="R53" s="3">
        <f>P53+Q53</f>
        <v>91.4036686388452</v>
      </c>
    </row>
    <row r="54" spans="1:18" ht="12.75">
      <c r="A54" s="4">
        <f>A53+0.05</f>
        <v>4.226761980676244</v>
      </c>
      <c r="B54" s="3">
        <f>B53+C53*(A54-A53)</f>
        <v>24.471146076494016</v>
      </c>
      <c r="C54" s="3">
        <f>C53</f>
        <v>14.622267272169374</v>
      </c>
      <c r="D54" s="3">
        <f>D53</f>
        <v>0</v>
      </c>
      <c r="F54" s="3">
        <f>$F$46+H54*(A54-$A$48)</f>
        <v>6.389100946088369</v>
      </c>
      <c r="G54" s="3">
        <f>$G$46-$I$48*(A54-$A$48)-1/2*g*(A54-$A$48)^2</f>
        <v>0.4618178471920683</v>
      </c>
      <c r="H54" s="3">
        <f>$H$46</f>
        <v>2.607481934027077</v>
      </c>
      <c r="I54" s="3">
        <f>$I$46+g*(A54-$A$48)</f>
        <v>6.470605558989035</v>
      </c>
      <c r="J54" s="3">
        <f>SQRT(H54^2+I54^2)</f>
        <v>6.976223787716202</v>
      </c>
      <c r="K54" s="6" t="s">
        <v>82</v>
      </c>
      <c r="L54" s="6" t="s">
        <v>82</v>
      </c>
      <c r="M54" s="6" t="s">
        <v>82</v>
      </c>
      <c r="N54" s="6" t="s">
        <v>82</v>
      </c>
      <c r="O54" s="6" t="s">
        <v>82</v>
      </c>
      <c r="P54" s="3">
        <f>1/2*IC*C54^2+1/2*mt*J54^2</f>
        <v>80.07758593645973</v>
      </c>
      <c r="Q54" s="3">
        <f>mt*g*G54</f>
        <v>11.326082702385476</v>
      </c>
      <c r="R54" s="3">
        <f>P54+Q54</f>
        <v>91.4036686388452</v>
      </c>
    </row>
    <row r="55" spans="1:18" ht="12.75">
      <c r="A55" s="4">
        <f>A54+0.02457</f>
        <v>4.251331980676244</v>
      </c>
      <c r="B55" s="3">
        <f>B54+C54*(A55-A54)</f>
        <v>24.830415183371212</v>
      </c>
      <c r="C55" s="3">
        <f>C54</f>
        <v>14.622267272169374</v>
      </c>
      <c r="D55" s="3">
        <f>D54</f>
        <v>0</v>
      </c>
      <c r="F55" s="3">
        <f>$F$46+H55*(A55-$A$48)</f>
        <v>6.453166777207414</v>
      </c>
      <c r="G55" s="3">
        <f>$G$46-$I$48*(A55-$A$48)-1/2*g*(A55-$A$48)^2</f>
        <v>0.29987399417320926</v>
      </c>
      <c r="H55" s="3">
        <f>$H$46</f>
        <v>2.607481934027077</v>
      </c>
      <c r="I55" s="3">
        <f>$I$46+g*(A55-$A$48)</f>
        <v>6.7116372589890325</v>
      </c>
      <c r="J55" s="3">
        <f>SQRT(H55^2+I55^2)</f>
        <v>7.200349764596675</v>
      </c>
      <c r="K55" s="6" t="s">
        <v>82</v>
      </c>
      <c r="L55" s="6" t="s">
        <v>82</v>
      </c>
      <c r="M55" s="6" t="s">
        <v>82</v>
      </c>
      <c r="N55" s="6" t="s">
        <v>82</v>
      </c>
      <c r="O55" s="6" t="s">
        <v>82</v>
      </c>
      <c r="P55" s="3">
        <f>1/2*IC*C55^2+1/2*mt*J55^2</f>
        <v>84.04925893174723</v>
      </c>
      <c r="Q55" s="3">
        <f>mt*g*G55</f>
        <v>7.3544097070979575</v>
      </c>
      <c r="R55" s="3">
        <f>P55+Q55</f>
        <v>91.40366863884519</v>
      </c>
    </row>
    <row r="56" spans="1:18" ht="12.75">
      <c r="A56" s="4"/>
      <c r="B56" s="3"/>
      <c r="C56" s="3"/>
      <c r="D56" s="3"/>
      <c r="F56" s="3"/>
      <c r="G56" s="3"/>
      <c r="H56" s="3"/>
      <c r="I56" s="3"/>
      <c r="J56" s="3"/>
      <c r="K56" s="6"/>
      <c r="L56" s="6"/>
      <c r="M56" s="6"/>
      <c r="N56" s="6"/>
      <c r="O56" s="6"/>
      <c r="P56" s="3"/>
      <c r="Q56" s="3"/>
      <c r="R56" s="3"/>
    </row>
  </sheetData>
  <mergeCells count="4">
    <mergeCell ref="E25:G25"/>
    <mergeCell ref="K25:M25"/>
    <mergeCell ref="N25:O25"/>
    <mergeCell ref="K24:O2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1996-10-14T23:33:28Z</dcterms:created>
  <dcterms:modified xsi:type="dcterms:W3CDTF">2003-06-12T19:39:46Z</dcterms:modified>
  <cp:category/>
  <cp:version/>
  <cp:contentType/>
  <cp:contentStatus/>
</cp:coreProperties>
</file>